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ARCOS\Publicações Portal da Agencia\2020\TESTE\"/>
    </mc:Choice>
  </mc:AlternateContent>
  <xr:revisionPtr revIDLastSave="0" documentId="8_{69D51CA7-700A-449F-B0A6-B82E5C4BDC0A}" xr6:coauthVersionLast="44" xr6:coauthVersionMax="44" xr10:uidLastSave="{00000000-0000-0000-0000-000000000000}"/>
  <bookViews>
    <workbookView xWindow="-21720" yWindow="-120" windowWidth="21840" windowHeight="13140" tabRatio="847" firstSheet="6" activeTab="6"/>
  </bookViews>
  <sheets>
    <sheet name="JAN 2014" sheetId="44" state="hidden" r:id="rId1"/>
    <sheet name="FEV 2014 " sheetId="45" state="hidden" r:id="rId2"/>
    <sheet name="MAR 2014 " sheetId="46" state="hidden" r:id="rId3"/>
    <sheet name="ABR 2014  " sheetId="47" state="hidden" r:id="rId4"/>
    <sheet name="MAI 2014  " sheetId="48" state="hidden" r:id="rId5"/>
    <sheet name="JUN 2014" sheetId="49" state="hidden" r:id="rId6"/>
    <sheet name="MARÇO 2020" sheetId="11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1" i="119" l="1"/>
  <c r="F58" i="119"/>
  <c r="F55" i="119"/>
  <c r="F51" i="119"/>
  <c r="K50" i="119"/>
  <c r="F47" i="119"/>
  <c r="F40" i="119"/>
  <c r="F38" i="119"/>
  <c r="F37" i="119"/>
  <c r="K38" i="119"/>
  <c r="F33" i="119"/>
  <c r="K32" i="119"/>
  <c r="K28" i="119"/>
  <c r="K27" i="119"/>
  <c r="F27" i="119"/>
  <c r="F21" i="119"/>
  <c r="K20" i="119"/>
  <c r="F18" i="119"/>
  <c r="K15" i="119"/>
  <c r="K11" i="119"/>
  <c r="E60" i="49"/>
  <c r="E59" i="49"/>
  <c r="E58" i="49"/>
  <c r="E29" i="49"/>
  <c r="E28" i="49"/>
  <c r="E12" i="49"/>
  <c r="J23" i="49"/>
  <c r="J20" i="49"/>
  <c r="E65" i="49"/>
  <c r="E64" i="49"/>
  <c r="E61" i="49"/>
  <c r="E55" i="49"/>
  <c r="E54" i="49"/>
  <c r="E53" i="49"/>
  <c r="E67" i="49"/>
  <c r="E50" i="49"/>
  <c r="J46" i="49"/>
  <c r="E41" i="49"/>
  <c r="E39" i="49"/>
  <c r="J39" i="49"/>
  <c r="E35" i="49"/>
  <c r="J33" i="49"/>
  <c r="J29" i="49"/>
  <c r="E22" i="49"/>
  <c r="E19" i="49"/>
  <c r="J16" i="49"/>
  <c r="J12" i="49"/>
  <c r="J67" i="49"/>
  <c r="E16" i="49"/>
  <c r="E43" i="48"/>
  <c r="E14" i="48"/>
  <c r="E59" i="48"/>
  <c r="E60" i="48"/>
  <c r="J23" i="48"/>
  <c r="J20" i="48"/>
  <c r="E29" i="48"/>
  <c r="E28" i="48"/>
  <c r="E26" i="48"/>
  <c r="E45" i="48"/>
  <c r="E41" i="48"/>
  <c r="E39" i="48"/>
  <c r="E44" i="48"/>
  <c r="E42" i="48"/>
  <c r="E25" i="48"/>
  <c r="E24" i="48"/>
  <c r="E22" i="48"/>
  <c r="E23" i="48"/>
  <c r="E23" i="47"/>
  <c r="E45" i="47"/>
  <c r="E26" i="47"/>
  <c r="E22" i="47"/>
  <c r="E44" i="47"/>
  <c r="E43" i="47"/>
  <c r="E42" i="47"/>
  <c r="E41" i="47"/>
  <c r="E39" i="47"/>
  <c r="E24" i="47"/>
  <c r="E25" i="47"/>
  <c r="E65" i="48"/>
  <c r="E64" i="48"/>
  <c r="E61" i="48"/>
  <c r="E55" i="48"/>
  <c r="E54" i="48"/>
  <c r="E53" i="48"/>
  <c r="E50" i="48"/>
  <c r="J46" i="48"/>
  <c r="J39" i="48"/>
  <c r="E35" i="48"/>
  <c r="J33" i="48"/>
  <c r="J29" i="48"/>
  <c r="E19" i="48"/>
  <c r="J16" i="48"/>
  <c r="J12" i="48"/>
  <c r="E16" i="48"/>
  <c r="J16" i="46"/>
  <c r="J46" i="46"/>
  <c r="E43" i="46"/>
  <c r="E44" i="46"/>
  <c r="E42" i="46"/>
  <c r="E41" i="46"/>
  <c r="E39" i="46"/>
  <c r="E24" i="46"/>
  <c r="E45" i="46"/>
  <c r="E26" i="46"/>
  <c r="E25" i="46"/>
  <c r="E23" i="46"/>
  <c r="E22" i="46"/>
  <c r="J23" i="47"/>
  <c r="J20" i="47"/>
  <c r="E60" i="47"/>
  <c r="E58" i="47"/>
  <c r="E29" i="47"/>
  <c r="E28" i="47"/>
  <c r="E65" i="47"/>
  <c r="E64" i="47"/>
  <c r="E61" i="47"/>
  <c r="E59" i="47"/>
  <c r="E55" i="47"/>
  <c r="E54" i="47"/>
  <c r="E53" i="47"/>
  <c r="E50" i="47"/>
  <c r="J46" i="47"/>
  <c r="J39" i="47"/>
  <c r="J67" i="47"/>
  <c r="E35" i="47"/>
  <c r="J33" i="47"/>
  <c r="J29" i="47"/>
  <c r="E19" i="47"/>
  <c r="E12" i="47"/>
  <c r="J16" i="47"/>
  <c r="E16" i="47"/>
  <c r="E59" i="45"/>
  <c r="J23" i="45"/>
  <c r="J20" i="45"/>
  <c r="J23" i="46"/>
  <c r="J20" i="46"/>
  <c r="E65" i="45"/>
  <c r="E64" i="45"/>
  <c r="E60" i="46"/>
  <c r="E59" i="46"/>
  <c r="E58" i="46"/>
  <c r="E28" i="46"/>
  <c r="E65" i="46"/>
  <c r="E64" i="46"/>
  <c r="E61" i="46"/>
  <c r="E55" i="46"/>
  <c r="E54" i="46"/>
  <c r="E53" i="46"/>
  <c r="E67" i="46"/>
  <c r="E50" i="46"/>
  <c r="J39" i="46"/>
  <c r="E35" i="46"/>
  <c r="J33" i="46"/>
  <c r="J29" i="46"/>
  <c r="E19" i="46"/>
  <c r="E16" i="46"/>
  <c r="E12" i="46"/>
  <c r="E43" i="45"/>
  <c r="E41" i="45"/>
  <c r="E39" i="45"/>
  <c r="E24" i="45"/>
  <c r="E22" i="45"/>
  <c r="E60" i="45"/>
  <c r="E58" i="45"/>
  <c r="E29" i="45"/>
  <c r="E28" i="45"/>
  <c r="E12" i="45"/>
  <c r="E61" i="45"/>
  <c r="E55" i="45"/>
  <c r="E54" i="45"/>
  <c r="E50" i="45"/>
  <c r="J46" i="45"/>
  <c r="J39" i="45"/>
  <c r="E35" i="45"/>
  <c r="J33" i="45"/>
  <c r="J29" i="45"/>
  <c r="E19" i="45"/>
  <c r="J16" i="45"/>
  <c r="J12" i="45"/>
  <c r="E16" i="45"/>
  <c r="E24" i="44"/>
  <c r="E22" i="44"/>
  <c r="E43" i="44"/>
  <c r="E41" i="44"/>
  <c r="E39" i="44"/>
  <c r="J46" i="44"/>
  <c r="J23" i="44"/>
  <c r="J20" i="44"/>
  <c r="J12" i="44"/>
  <c r="E57" i="44"/>
  <c r="E55" i="44"/>
  <c r="E54" i="44"/>
  <c r="E53" i="44"/>
  <c r="E29" i="44"/>
  <c r="E28" i="44"/>
  <c r="E64" i="44"/>
  <c r="E61" i="44"/>
  <c r="E58" i="44"/>
  <c r="E50" i="44"/>
  <c r="J39" i="44"/>
  <c r="J67" i="44"/>
  <c r="E35" i="44"/>
  <c r="J33" i="44"/>
  <c r="J29" i="44"/>
  <c r="E19" i="44"/>
  <c r="J16" i="44"/>
  <c r="E16" i="44"/>
  <c r="E12" i="44"/>
  <c r="E58" i="48"/>
  <c r="J67" i="48"/>
  <c r="J12" i="47"/>
  <c r="E67" i="44"/>
  <c r="J67" i="45"/>
  <c r="J12" i="46"/>
  <c r="E53" i="45"/>
  <c r="E67" i="45"/>
  <c r="J67" i="46"/>
  <c r="E12" i="48"/>
  <c r="E67" i="48"/>
  <c r="L67" i="46"/>
  <c r="E67" i="47"/>
  <c r="F50" i="119"/>
  <c r="F11" i="119"/>
  <c r="F64" i="119"/>
  <c r="K64" i="119"/>
</calcChain>
</file>

<file path=xl/sharedStrings.xml><?xml version="1.0" encoding="utf-8"?>
<sst xmlns="http://schemas.openxmlformats.org/spreadsheetml/2006/main" count="645" uniqueCount="105">
  <si>
    <t xml:space="preserve">  AGÊNCIA DE FOMENTO DE GOIÁS S/A</t>
  </si>
  <si>
    <t xml:space="preserve">                                       CNPJ.: 03.918.382/0001-25</t>
  </si>
  <si>
    <t xml:space="preserve">                               AV. Goiás N. 91 – Centro – Goiânia (GO)  </t>
  </si>
  <si>
    <t xml:space="preserve">                        TEL.: (62) 3216-4900  -  FAX.: (62) 3216-4970</t>
  </si>
  <si>
    <t>ATIVO</t>
  </si>
  <si>
    <t>PASSIVO</t>
  </si>
  <si>
    <t xml:space="preserve"> CIRCULANTE </t>
  </si>
  <si>
    <t xml:space="preserve">CIRCULANTE </t>
  </si>
  <si>
    <t xml:space="preserve">          DISPONIBILIDADES </t>
  </si>
  <si>
    <t xml:space="preserve">          APLICAÇÕES INTERF. DE LIQUIDEZ</t>
  </si>
  <si>
    <t xml:space="preserve">        OBRIGAÇÕES POR EMPRÉST. E REPASSE</t>
  </si>
  <si>
    <t>Aplicações Interfinanceiras de Liquidez</t>
  </si>
  <si>
    <t>Repasses do País - BNDES</t>
  </si>
  <si>
    <t xml:space="preserve">          TÍTULOS E VALORES MOBILIÁRIOS</t>
  </si>
  <si>
    <t>Carteira Própria</t>
  </si>
  <si>
    <t xml:space="preserve">        OUTRAS OBRIGAÇÕES </t>
  </si>
  <si>
    <t>Sociais Estatutárias</t>
  </si>
  <si>
    <t xml:space="preserve">          OPERAÇÕES DE CRÉDITO</t>
  </si>
  <si>
    <t>Fiscais e Previdenciárias</t>
  </si>
  <si>
    <t>Empréstimos Setor Privado</t>
  </si>
  <si>
    <t>Diversas</t>
  </si>
  <si>
    <t xml:space="preserve">Financiamentos Setor Privado </t>
  </si>
  <si>
    <t>Provisão p/ Operaç. Créd. Liq. Duvidosa</t>
  </si>
  <si>
    <t xml:space="preserve">          OUTROS CRÉDITOS </t>
  </si>
  <si>
    <t xml:space="preserve">Diversos </t>
  </si>
  <si>
    <t>EXIGÍVEL A LONGO PRAZO</t>
  </si>
  <si>
    <t xml:space="preserve">          OUTROS VALORES E BENS </t>
  </si>
  <si>
    <t>Outros Valores e Bens</t>
  </si>
  <si>
    <t xml:space="preserve"> REALIZÁVEL A LONGO PRAZO</t>
  </si>
  <si>
    <t xml:space="preserve">PATRIMÔNIO LÍQUIDO </t>
  </si>
  <si>
    <t>Capital Social</t>
  </si>
  <si>
    <t xml:space="preserve">          OPERAÇÕES DE CRÉDITOS</t>
  </si>
  <si>
    <t>Reserva de Lucros</t>
  </si>
  <si>
    <t>CONTAS DE RESULTADO</t>
  </si>
  <si>
    <t>Receitas Operacionais</t>
  </si>
  <si>
    <t>(Despesas Operacionais)</t>
  </si>
  <si>
    <t>Receitas Não Operacionais</t>
  </si>
  <si>
    <t xml:space="preserve"> PERMANENTE </t>
  </si>
  <si>
    <t>(Imposto de Renda)</t>
  </si>
  <si>
    <t>(Contribuição Social)</t>
  </si>
  <si>
    <t>Depreciações Acumuladas</t>
  </si>
  <si>
    <t>Amortizações Acumuladas</t>
  </si>
  <si>
    <t xml:space="preserve">Gastos com Logiciais </t>
  </si>
  <si>
    <t xml:space="preserve"> TOTAL DO ATIVO </t>
  </si>
  <si>
    <t>TOTAL DO PASSIVO</t>
  </si>
  <si>
    <t>DIRETORIA EXECUTIVA</t>
  </si>
  <si>
    <t>CONSELHO FISCAL</t>
  </si>
  <si>
    <t>SILVIO VIEIRA DA LUZ</t>
  </si>
  <si>
    <t>MACÁRIO DE PAIVA NETO</t>
  </si>
  <si>
    <t>Diretor Administrativo e Financeiro</t>
  </si>
  <si>
    <t>WANDERLINO TEIXEIRA DE CARVALHO</t>
  </si>
  <si>
    <t>CONTADORA</t>
  </si>
  <si>
    <t>MARIA TEREZINHA DA MOTA BATISTA</t>
  </si>
  <si>
    <t xml:space="preserve">  Diretor de Operações</t>
  </si>
  <si>
    <t>Contadora CRC/GO 8.031 CPF 311.069.601-06</t>
  </si>
  <si>
    <t>NÃO CIRCULANTE:</t>
  </si>
  <si>
    <t>Ativos Intangíveis</t>
  </si>
  <si>
    <t>Repasses do País - FCO</t>
  </si>
  <si>
    <t>Diversos</t>
  </si>
  <si>
    <t xml:space="preserve">  Diretor Presidente</t>
  </si>
  <si>
    <t>JEAN CARLO DOS SANTOS</t>
  </si>
  <si>
    <t>LUIZ ANTÔNIO FAUSTINO MARONEZI</t>
  </si>
  <si>
    <t xml:space="preserve">ALAIR DA SILVA ROCHA </t>
  </si>
  <si>
    <t xml:space="preserve"> Repasses do País - FCO</t>
  </si>
  <si>
    <t>ANDREA AURORA GUEDES VECCI</t>
  </si>
  <si>
    <t xml:space="preserve">  Diretora de Prospecção de Oportunidades de Negócios</t>
  </si>
  <si>
    <t xml:space="preserve">Financiamentos Rurais e Agronegócio </t>
  </si>
  <si>
    <t xml:space="preserve">     IMÓVEIS DE USO</t>
  </si>
  <si>
    <t>Terrenos</t>
  </si>
  <si>
    <t>Edificações</t>
  </si>
  <si>
    <t xml:space="preserve">     IMOBILIZADO DE USO</t>
  </si>
  <si>
    <t>Imobilizado de Uso</t>
  </si>
  <si>
    <t xml:space="preserve">                                            BALANCETE  PATRIMONIAL EM 31 DE JANEIRO  DE 2014   EM R$ </t>
  </si>
  <si>
    <t>Despesas Operacionais</t>
  </si>
  <si>
    <t>Despesas Não Operacionais</t>
  </si>
  <si>
    <t xml:space="preserve">     DIFERIDO </t>
  </si>
  <si>
    <t xml:space="preserve">     INTANGÍVEL</t>
  </si>
  <si>
    <t xml:space="preserve">                                            BALANCETE  PATRIMONIAL EM 31 DE MARÇO  DE 2014   EM R$ </t>
  </si>
  <si>
    <t xml:space="preserve">                                            BALANCETE  PATRIMONIAL EM 28 DE FEVEREIRO  DE 2014   EM R$ </t>
  </si>
  <si>
    <t xml:space="preserve">                                            BALANCETE  PATRIMONIAL EM 30 DE ABRIL  DE 2014   EM R$ </t>
  </si>
  <si>
    <t xml:space="preserve">                                            BALANCETE  PATRIMONIAL EM 31 DE MAIO  DE 2014   EM R$ </t>
  </si>
  <si>
    <t xml:space="preserve">          OPERAÇÕES DE CRÉDITOS     </t>
  </si>
  <si>
    <t xml:space="preserve"> TOTAL DO ATIVO                      </t>
  </si>
  <si>
    <t xml:space="preserve">                                            BALANCETE  PATRIMONIAL EM 30 DE JULHO  DE 2014   EM R$ </t>
  </si>
  <si>
    <t>Finep</t>
  </si>
  <si>
    <t>Provisão p/ Outros Créditos</t>
  </si>
  <si>
    <t>Despesas  Não Operacionais</t>
  </si>
  <si>
    <t xml:space="preserve">  Diretor-Presidente</t>
  </si>
  <si>
    <t>Aumento de Capital</t>
  </si>
  <si>
    <t xml:space="preserve">Reserva Para Expansao </t>
  </si>
  <si>
    <t xml:space="preserve">Reserva Para Incentivos Fiscais  </t>
  </si>
  <si>
    <t>Reserva de Legal</t>
  </si>
  <si>
    <t>Ativo Fiscal Diferido - Impostos e Contribuições</t>
  </si>
  <si>
    <t xml:space="preserve">  Diretora Aministrativa e Financeira</t>
  </si>
  <si>
    <t>CONTADOR</t>
  </si>
  <si>
    <t>Imposto de Renda e Contribuição Social</t>
  </si>
  <si>
    <t xml:space="preserve"> CRC/GO 012.656/O-9  CPF 306.620.361-15</t>
  </si>
  <si>
    <t xml:space="preserve">EDIMAR DA PAIXÃO MENDES </t>
  </si>
  <si>
    <t>RIVAEL AGUIAR PEREIRA</t>
  </si>
  <si>
    <t xml:space="preserve">FERNANDO FREITAS SILVA </t>
  </si>
  <si>
    <t xml:space="preserve">Diretor de Operações </t>
  </si>
  <si>
    <t>Repasses do País - FUNGETUR</t>
  </si>
  <si>
    <t xml:space="preserve">                                            BALANCETE  PATRIMONIAL EM 31 DE MARÇO DE 2020 - EM R$ Mil</t>
  </si>
  <si>
    <t>FABRÍCIO BORGES AMARAL</t>
  </si>
  <si>
    <t>PAULO DE AGUIAR ALMEIDA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</si>
</sst>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75" formatCode="_(* #,##0_);_(* \(#,##0\);_(* &quot;-&quot;_);_(@_)"/>
    <numFmt numFmtId="177" formatCode="_(* #,##0.00_);_(* \(#,##0.00\);_(* &quot;-&quot;??_);_(@_)"/>
    <numFmt numFmtId="178" formatCode="0.00_);\(0.00\)"/>
    <numFmt numFmtId="185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name val="Times New Roman"/>
      <family val="1"/>
    </font>
    <font>
      <u/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0"/>
      <color rgb="FF1F497D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177" fontId="13" fillId="0" borderId="0" applyFont="0" applyFill="0" applyBorder="0" applyAlignment="0" applyProtection="0"/>
  </cellStyleXfs>
  <cellXfs count="29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  <xf numFmtId="38" fontId="1" fillId="0" borderId="3" xfId="0" applyNumberFormat="1" applyFont="1" applyBorder="1" applyAlignment="1">
      <alignment horizontal="right"/>
    </xf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3" fontId="1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/>
    <xf numFmtId="38" fontId="1" fillId="0" borderId="5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Border="1"/>
    <xf numFmtId="0" fontId="5" fillId="0" borderId="0" xfId="0" applyFont="1"/>
    <xf numFmtId="0" fontId="7" fillId="3" borderId="0" xfId="0" applyFont="1" applyFill="1" applyBorder="1"/>
    <xf numFmtId="178" fontId="7" fillId="3" borderId="0" xfId="0" applyNumberFormat="1" applyFont="1" applyFill="1" applyBorder="1"/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8" fontId="7" fillId="0" borderId="5" xfId="0" applyNumberFormat="1" applyFont="1" applyBorder="1" applyAlignment="1">
      <alignment horizontal="right"/>
    </xf>
    <xf numFmtId="0" fontId="10" fillId="0" borderId="0" xfId="0" applyFont="1" applyFill="1" applyBorder="1"/>
    <xf numFmtId="3" fontId="1" fillId="0" borderId="0" xfId="0" applyNumberFormat="1" applyFont="1"/>
    <xf numFmtId="38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5" fillId="0" borderId="0" xfId="0" applyNumberFormat="1" applyFont="1" applyAlignment="1">
      <alignment horizontal="right"/>
    </xf>
    <xf numFmtId="49" fontId="7" fillId="3" borderId="0" xfId="0" applyNumberFormat="1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78" fontId="12" fillId="3" borderId="0" xfId="0" applyNumberFormat="1" applyFont="1" applyFill="1" applyBorder="1"/>
    <xf numFmtId="3" fontId="7" fillId="3" borderId="0" xfId="0" applyNumberFormat="1" applyFont="1" applyFill="1" applyBorder="1"/>
    <xf numFmtId="0" fontId="1" fillId="0" borderId="0" xfId="0" applyFont="1" applyBorder="1" applyProtection="1">
      <protection locked="0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39" fontId="5" fillId="3" borderId="8" xfId="0" applyNumberFormat="1" applyFont="1" applyFill="1" applyBorder="1" applyAlignment="1">
      <alignment horizontal="center" vertical="center"/>
    </xf>
    <xf numFmtId="39" fontId="8" fillId="3" borderId="9" xfId="0" applyNumberFormat="1" applyFont="1" applyFill="1" applyBorder="1" applyAlignment="1">
      <alignment horizontal="right"/>
    </xf>
    <xf numFmtId="37" fontId="8" fillId="3" borderId="9" xfId="0" applyNumberFormat="1" applyFont="1" applyFill="1" applyBorder="1" applyAlignment="1">
      <alignment horizontal="right"/>
    </xf>
    <xf numFmtId="40" fontId="8" fillId="3" borderId="9" xfId="0" applyNumberFormat="1" applyFont="1" applyFill="1" applyBorder="1" applyAlignment="1">
      <alignment horizontal="right"/>
    </xf>
    <xf numFmtId="40" fontId="7" fillId="3" borderId="9" xfId="0" applyNumberFormat="1" applyFont="1" applyFill="1" applyBorder="1" applyAlignment="1">
      <alignment horizontal="right"/>
    </xf>
    <xf numFmtId="175" fontId="7" fillId="3" borderId="10" xfId="0" applyNumberFormat="1" applyFont="1" applyFill="1" applyBorder="1"/>
    <xf numFmtId="178" fontId="7" fillId="3" borderId="10" xfId="0" applyNumberFormat="1" applyFont="1" applyFill="1" applyBorder="1"/>
    <xf numFmtId="178" fontId="7" fillId="3" borderId="9" xfId="0" applyNumberFormat="1" applyFont="1" applyFill="1" applyBorder="1" applyAlignment="1">
      <alignment horizontal="right"/>
    </xf>
    <xf numFmtId="178" fontId="8" fillId="3" borderId="10" xfId="0" applyNumberFormat="1" applyFont="1" applyFill="1" applyBorder="1"/>
    <xf numFmtId="177" fontId="8" fillId="3" borderId="9" xfId="1" applyFont="1" applyFill="1" applyBorder="1" applyAlignment="1">
      <alignment horizontal="right"/>
    </xf>
    <xf numFmtId="177" fontId="7" fillId="3" borderId="9" xfId="1" applyFont="1" applyFill="1" applyBorder="1" applyAlignment="1">
      <alignment horizontal="right"/>
    </xf>
    <xf numFmtId="178" fontId="7" fillId="3" borderId="9" xfId="0" applyNumberFormat="1" applyFont="1" applyFill="1" applyBorder="1"/>
    <xf numFmtId="175" fontId="8" fillId="3" borderId="11" xfId="0" applyNumberFormat="1" applyFont="1" applyFill="1" applyBorder="1" applyAlignment="1">
      <alignment horizontal="left"/>
    </xf>
    <xf numFmtId="175" fontId="8" fillId="3" borderId="12" xfId="0" applyNumberFormat="1" applyFont="1" applyFill="1" applyBorder="1" applyAlignment="1">
      <alignment horizontal="left"/>
    </xf>
    <xf numFmtId="4" fontId="8" fillId="3" borderId="13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left"/>
    </xf>
    <xf numFmtId="0" fontId="8" fillId="3" borderId="10" xfId="0" applyFont="1" applyFill="1" applyBorder="1"/>
    <xf numFmtId="0" fontId="11" fillId="3" borderId="10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/>
    </xf>
    <xf numFmtId="0" fontId="8" fillId="3" borderId="11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175" fontId="8" fillId="3" borderId="13" xfId="0" applyNumberFormat="1" applyFont="1" applyFill="1" applyBorder="1" applyAlignment="1">
      <alignment horizontal="right"/>
    </xf>
    <xf numFmtId="177" fontId="14" fillId="3" borderId="9" xfId="1" applyFont="1" applyFill="1" applyBorder="1" applyAlignment="1">
      <alignment horizontal="right"/>
    </xf>
    <xf numFmtId="178" fontId="14" fillId="3" borderId="10" xfId="0" applyNumberFormat="1" applyFont="1" applyFill="1" applyBorder="1"/>
    <xf numFmtId="178" fontId="14" fillId="3" borderId="0" xfId="0" applyNumberFormat="1" applyFont="1" applyFill="1" applyBorder="1"/>
    <xf numFmtId="0" fontId="15" fillId="0" borderId="0" xfId="0" applyFont="1" applyAlignment="1">
      <alignment horizontal="right" vertical="center" wrapText="1"/>
    </xf>
    <xf numFmtId="177" fontId="5" fillId="0" borderId="0" xfId="0" applyNumberFormat="1" applyFont="1"/>
    <xf numFmtId="178" fontId="7" fillId="3" borderId="0" xfId="0" applyNumberFormat="1" applyFont="1" applyFill="1" applyBorder="1" applyAlignment="1">
      <alignment horizontal="left"/>
    </xf>
    <xf numFmtId="175" fontId="7" fillId="3" borderId="0" xfId="0" applyNumberFormat="1" applyFont="1" applyFill="1" applyBorder="1" applyAlignment="1">
      <alignment horizontal="left"/>
    </xf>
    <xf numFmtId="175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75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78" fontId="8" fillId="3" borderId="0" xfId="0" applyNumberFormat="1" applyFont="1" applyFill="1" applyBorder="1" applyAlignment="1">
      <alignment horizontal="left"/>
    </xf>
    <xf numFmtId="178" fontId="7" fillId="3" borderId="0" xfId="0" applyNumberFormat="1" applyFont="1" applyFill="1" applyBorder="1" applyAlignment="1">
      <alignment horizontal="left"/>
    </xf>
    <xf numFmtId="178" fontId="8" fillId="3" borderId="0" xfId="0" applyNumberFormat="1" applyFont="1" applyFill="1" applyBorder="1" applyAlignment="1">
      <alignment horizontal="left"/>
    </xf>
    <xf numFmtId="178" fontId="7" fillId="3" borderId="0" xfId="0" applyNumberFormat="1" applyFont="1" applyFill="1" applyBorder="1" applyAlignment="1">
      <alignment horizontal="right"/>
    </xf>
    <xf numFmtId="177" fontId="8" fillId="3" borderId="0" xfId="1" applyFont="1" applyFill="1" applyBorder="1" applyAlignment="1">
      <alignment horizontal="right"/>
    </xf>
    <xf numFmtId="177" fontId="7" fillId="3" borderId="0" xfId="1" applyFont="1" applyFill="1" applyBorder="1" applyAlignment="1">
      <alignment horizontal="right"/>
    </xf>
    <xf numFmtId="175" fontId="7" fillId="3" borderId="0" xfId="0" applyNumberFormat="1" applyFont="1" applyFill="1" applyBorder="1" applyAlignment="1">
      <alignment horizontal="left"/>
    </xf>
    <xf numFmtId="175" fontId="8" fillId="3" borderId="0" xfId="0" applyNumberFormat="1" applyFont="1" applyFill="1" applyBorder="1" applyAlignment="1">
      <alignment horizontal="left"/>
    </xf>
    <xf numFmtId="178" fontId="7" fillId="3" borderId="0" xfId="0" applyNumberFormat="1" applyFont="1" applyFill="1" applyBorder="1" applyAlignment="1">
      <alignment horizontal="left"/>
    </xf>
    <xf numFmtId="178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75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78" fontId="7" fillId="3" borderId="0" xfId="0" applyNumberFormat="1" applyFont="1" applyFill="1" applyBorder="1" applyAlignment="1">
      <alignment horizontal="left"/>
    </xf>
    <xf numFmtId="178" fontId="8" fillId="3" borderId="0" xfId="0" applyNumberFormat="1" applyFont="1" applyFill="1" applyBorder="1" applyAlignment="1">
      <alignment horizontal="left"/>
    </xf>
    <xf numFmtId="175" fontId="7" fillId="3" borderId="0" xfId="0" applyNumberFormat="1" applyFont="1" applyFill="1" applyBorder="1" applyAlignment="1">
      <alignment horizontal="left"/>
    </xf>
    <xf numFmtId="175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75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78" fontId="7" fillId="3" borderId="0" xfId="0" applyNumberFormat="1" applyFont="1" applyFill="1" applyBorder="1" applyAlignment="1">
      <alignment horizontal="left"/>
    </xf>
    <xf numFmtId="178" fontId="8" fillId="3" borderId="0" xfId="0" applyNumberFormat="1" applyFont="1" applyFill="1" applyBorder="1" applyAlignment="1">
      <alignment horizontal="left"/>
    </xf>
    <xf numFmtId="175" fontId="7" fillId="3" borderId="0" xfId="0" applyNumberFormat="1" applyFont="1" applyFill="1" applyBorder="1" applyAlignment="1">
      <alignment horizontal="left"/>
    </xf>
    <xf numFmtId="175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75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43" fontId="1" fillId="0" borderId="0" xfId="0" applyNumberFormat="1" applyFont="1"/>
    <xf numFmtId="177" fontId="16" fillId="3" borderId="9" xfId="1" applyFont="1" applyFill="1" applyBorder="1" applyAlignment="1">
      <alignment horizontal="right"/>
    </xf>
    <xf numFmtId="177" fontId="17" fillId="3" borderId="9" xfId="1" applyFont="1" applyFill="1" applyBorder="1" applyAlignment="1">
      <alignment horizontal="right"/>
    </xf>
    <xf numFmtId="175" fontId="7" fillId="3" borderId="0" xfId="0" applyNumberFormat="1" applyFont="1" applyFill="1" applyBorder="1" applyAlignment="1">
      <alignment horizontal="left"/>
    </xf>
    <xf numFmtId="175" fontId="8" fillId="3" borderId="0" xfId="0" applyNumberFormat="1" applyFont="1" applyFill="1" applyBorder="1" applyAlignment="1">
      <alignment horizontal="left"/>
    </xf>
    <xf numFmtId="178" fontId="7" fillId="3" borderId="0" xfId="0" applyNumberFormat="1" applyFont="1" applyFill="1" applyBorder="1" applyAlignment="1">
      <alignment horizontal="left"/>
    </xf>
    <xf numFmtId="178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75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40" fontId="17" fillId="3" borderId="9" xfId="0" applyNumberFormat="1" applyFont="1" applyFill="1" applyBorder="1" applyAlignment="1">
      <alignment horizontal="right"/>
    </xf>
    <xf numFmtId="178" fontId="7" fillId="3" borderId="0" xfId="0" applyNumberFormat="1" applyFont="1" applyFill="1" applyBorder="1" applyAlignment="1">
      <alignment horizontal="left"/>
    </xf>
    <xf numFmtId="178" fontId="8" fillId="3" borderId="0" xfId="0" applyNumberFormat="1" applyFont="1" applyFill="1" applyBorder="1" applyAlignment="1">
      <alignment horizontal="left"/>
    </xf>
    <xf numFmtId="175" fontId="7" fillId="3" borderId="0" xfId="0" applyNumberFormat="1" applyFont="1" applyFill="1" applyBorder="1" applyAlignment="1">
      <alignment horizontal="left"/>
    </xf>
    <xf numFmtId="175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75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77" fontId="1" fillId="0" borderId="0" xfId="0" applyNumberFormat="1" applyFont="1"/>
    <xf numFmtId="177" fontId="1" fillId="0" borderId="0" xfId="1" applyFont="1"/>
    <xf numFmtId="43" fontId="5" fillId="0" borderId="0" xfId="0" applyNumberFormat="1" applyFont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3" fontId="1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7" fillId="0" borderId="10" xfId="0" applyFont="1" applyFill="1" applyBorder="1"/>
    <xf numFmtId="0" fontId="7" fillId="0" borderId="0" xfId="0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0" fontId="8" fillId="0" borderId="10" xfId="0" applyFont="1" applyFill="1" applyBorder="1"/>
    <xf numFmtId="3" fontId="7" fillId="0" borderId="0" xfId="0" applyNumberFormat="1" applyFont="1" applyFill="1" applyBorder="1"/>
    <xf numFmtId="0" fontId="7" fillId="0" borderId="10" xfId="0" applyFont="1" applyFill="1" applyBorder="1" applyAlignment="1">
      <alignment horizontal="left"/>
    </xf>
    <xf numFmtId="0" fontId="11" fillId="0" borderId="10" xfId="0" applyFont="1" applyFill="1" applyBorder="1" applyAlignment="1">
      <alignment vertical="top"/>
    </xf>
    <xf numFmtId="0" fontId="8" fillId="0" borderId="10" xfId="0" applyFont="1" applyFill="1" applyBorder="1" applyAlignment="1">
      <alignment vertical="top"/>
    </xf>
    <xf numFmtId="0" fontId="8" fillId="0" borderId="11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175" fontId="8" fillId="0" borderId="13" xfId="0" applyNumberFormat="1" applyFont="1" applyFill="1" applyBorder="1" applyAlignment="1">
      <alignment horizontal="right"/>
    </xf>
    <xf numFmtId="175" fontId="8" fillId="0" borderId="11" xfId="0" applyNumberFormat="1" applyFont="1" applyFill="1" applyBorder="1" applyAlignment="1">
      <alignment horizontal="left"/>
    </xf>
    <xf numFmtId="175" fontId="8" fillId="0" borderId="12" xfId="0" applyNumberFormat="1" applyFont="1" applyFill="1" applyBorder="1" applyAlignment="1">
      <alignment horizontal="left"/>
    </xf>
    <xf numFmtId="4" fontId="8" fillId="0" borderId="13" xfId="0" applyNumberFormat="1" applyFont="1" applyFill="1" applyBorder="1" applyAlignment="1">
      <alignment horizontal="right"/>
    </xf>
    <xf numFmtId="185" fontId="8" fillId="3" borderId="9" xfId="1" applyNumberFormat="1" applyFont="1" applyFill="1" applyBorder="1" applyAlignment="1">
      <alignment horizontal="right"/>
    </xf>
    <xf numFmtId="185" fontId="7" fillId="3" borderId="9" xfId="1" applyNumberFormat="1" applyFont="1" applyFill="1" applyBorder="1" applyAlignment="1">
      <alignment horizontal="right"/>
    </xf>
    <xf numFmtId="185" fontId="7" fillId="0" borderId="9" xfId="1" applyNumberFormat="1" applyFont="1" applyFill="1" applyBorder="1" applyAlignment="1">
      <alignment horizontal="right"/>
    </xf>
    <xf numFmtId="185" fontId="8" fillId="0" borderId="9" xfId="1" applyNumberFormat="1" applyFont="1" applyFill="1" applyBorder="1" applyAlignment="1">
      <alignment horizontal="right"/>
    </xf>
    <xf numFmtId="38" fontId="8" fillId="3" borderId="9" xfId="0" applyNumberFormat="1" applyFont="1" applyFill="1" applyBorder="1" applyAlignment="1">
      <alignment horizontal="right"/>
    </xf>
    <xf numFmtId="38" fontId="7" fillId="3" borderId="9" xfId="0" applyNumberFormat="1" applyFont="1" applyFill="1" applyBorder="1" applyAlignment="1">
      <alignment horizontal="right"/>
    </xf>
    <xf numFmtId="38" fontId="8" fillId="3" borderId="9" xfId="1" applyNumberFormat="1" applyFont="1" applyFill="1" applyBorder="1" applyAlignment="1">
      <alignment horizontal="right"/>
    </xf>
    <xf numFmtId="38" fontId="14" fillId="3" borderId="9" xfId="1" applyNumberFormat="1" applyFont="1" applyFill="1" applyBorder="1" applyAlignment="1">
      <alignment horizontal="right"/>
    </xf>
    <xf numFmtId="177" fontId="18" fillId="3" borderId="9" xfId="1" applyFont="1" applyFill="1" applyBorder="1" applyAlignment="1">
      <alignment horizontal="right"/>
    </xf>
    <xf numFmtId="185" fontId="14" fillId="0" borderId="9" xfId="1" applyNumberFormat="1" applyFont="1" applyFill="1" applyBorder="1" applyAlignment="1">
      <alignment horizontal="right"/>
    </xf>
    <xf numFmtId="38" fontId="14" fillId="3" borderId="9" xfId="0" applyNumberFormat="1" applyFont="1" applyFill="1" applyBorder="1" applyAlignment="1">
      <alignment horizontal="right"/>
    </xf>
    <xf numFmtId="38" fontId="14" fillId="3" borderId="9" xfId="0" applyNumberFormat="1" applyFont="1" applyFill="1" applyBorder="1"/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38" fontId="7" fillId="0" borderId="9" xfId="0" applyNumberFormat="1" applyFont="1" applyFill="1" applyBorder="1"/>
    <xf numFmtId="0" fontId="7" fillId="0" borderId="9" xfId="0" applyFont="1" applyBorder="1" applyAlignment="1">
      <alignment horizontal="left"/>
    </xf>
    <xf numFmtId="175" fontId="7" fillId="3" borderId="0" xfId="0" applyNumberFormat="1" applyFont="1" applyFill="1" applyBorder="1" applyAlignment="1">
      <alignment horizontal="left"/>
    </xf>
    <xf numFmtId="38" fontId="7" fillId="0" borderId="9" xfId="0" applyNumberFormat="1" applyFont="1" applyFill="1" applyBorder="1" applyAlignment="1">
      <alignment horizontal="right"/>
    </xf>
    <xf numFmtId="0" fontId="11" fillId="0" borderId="1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185" fontId="16" fillId="0" borderId="9" xfId="1" applyNumberFormat="1" applyFont="1" applyFill="1" applyBorder="1" applyAlignment="1">
      <alignment horizontal="right"/>
    </xf>
    <xf numFmtId="38" fontId="16" fillId="3" borderId="9" xfId="0" applyNumberFormat="1" applyFont="1" applyFill="1" applyBorder="1" applyAlignment="1">
      <alignment horizontal="right"/>
    </xf>
    <xf numFmtId="39" fontId="19" fillId="3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78" fontId="8" fillId="3" borderId="0" xfId="0" applyNumberFormat="1" applyFont="1" applyFill="1" applyBorder="1"/>
    <xf numFmtId="0" fontId="7" fillId="0" borderId="7" xfId="0" applyFont="1" applyBorder="1"/>
    <xf numFmtId="0" fontId="9" fillId="2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7" xfId="0" applyFont="1" applyFill="1" applyBorder="1"/>
    <xf numFmtId="3" fontId="1" fillId="0" borderId="7" xfId="0" applyNumberFormat="1" applyFont="1" applyFill="1" applyBorder="1"/>
    <xf numFmtId="38" fontId="1" fillId="0" borderId="8" xfId="0" applyNumberFormat="1" applyFont="1" applyFill="1" applyBorder="1" applyAlignment="1">
      <alignment horizontal="right"/>
    </xf>
    <xf numFmtId="0" fontId="1" fillId="0" borderId="10" xfId="0" applyFont="1" applyFill="1" applyBorder="1"/>
    <xf numFmtId="0" fontId="3" fillId="0" borderId="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/>
    <xf numFmtId="38" fontId="1" fillId="0" borderId="9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center"/>
    </xf>
    <xf numFmtId="185" fontId="17" fillId="0" borderId="9" xfId="1" applyNumberFormat="1" applyFont="1" applyFill="1" applyBorder="1"/>
    <xf numFmtId="175" fontId="20" fillId="3" borderId="9" xfId="0" applyNumberFormat="1" applyFont="1" applyFill="1" applyBorder="1" applyAlignment="1">
      <alignment horizontal="right" vertical="center"/>
    </xf>
    <xf numFmtId="175" fontId="20" fillId="0" borderId="9" xfId="0" applyNumberFormat="1" applyFont="1" applyBorder="1" applyAlignment="1">
      <alignment horizontal="right"/>
    </xf>
    <xf numFmtId="175" fontId="20" fillId="3" borderId="9" xfId="0" applyNumberFormat="1" applyFont="1" applyFill="1" applyBorder="1" applyAlignment="1">
      <alignment horizontal="right"/>
    </xf>
    <xf numFmtId="175" fontId="21" fillId="3" borderId="14" xfId="0" applyNumberFormat="1" applyFont="1" applyFill="1" applyBorder="1" applyAlignment="1">
      <alignment horizontal="right" vertical="center"/>
    </xf>
    <xf numFmtId="175" fontId="20" fillId="3" borderId="14" xfId="0" applyNumberFormat="1" applyFont="1" applyFill="1" applyBorder="1" applyAlignment="1">
      <alignment horizontal="right" vertical="center"/>
    </xf>
    <xf numFmtId="178" fontId="8" fillId="3" borderId="0" xfId="0" applyNumberFormat="1" applyFont="1" applyFill="1" applyAlignment="1">
      <alignment horizontal="left"/>
    </xf>
    <xf numFmtId="178" fontId="8" fillId="3" borderId="10" xfId="0" applyNumberFormat="1" applyFont="1" applyFill="1" applyBorder="1" applyAlignment="1">
      <alignment horizontal="left"/>
    </xf>
    <xf numFmtId="178" fontId="8" fillId="3" borderId="0" xfId="0" applyNumberFormat="1" applyFont="1" applyFill="1" applyBorder="1" applyAlignment="1">
      <alignment horizontal="left"/>
    </xf>
    <xf numFmtId="178" fontId="7" fillId="3" borderId="0" xfId="0" applyNumberFormat="1" applyFont="1" applyFill="1" applyBorder="1" applyAlignment="1">
      <alignment horizontal="left"/>
    </xf>
    <xf numFmtId="175" fontId="8" fillId="3" borderId="10" xfId="0" applyNumberFormat="1" applyFont="1" applyFill="1" applyBorder="1" applyAlignment="1">
      <alignment horizontal="left"/>
    </xf>
    <xf numFmtId="175" fontId="8" fillId="3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wrapText="1"/>
    </xf>
    <xf numFmtId="178" fontId="7" fillId="3" borderId="0" xfId="0" applyNumberFormat="1" applyFont="1" applyFill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9" xfId="0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7" fillId="3" borderId="0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78" fontId="8" fillId="3" borderId="10" xfId="0" applyNumberFormat="1" applyFont="1" applyFill="1" applyBorder="1" applyAlignment="1">
      <alignment horizontal="left"/>
    </xf>
    <xf numFmtId="178" fontId="8" fillId="3" borderId="0" xfId="0" applyNumberFormat="1" applyFont="1" applyFill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11" fillId="3" borderId="10" xfId="0" applyFont="1" applyFill="1" applyBorder="1"/>
    <xf numFmtId="0" fontId="11" fillId="3" borderId="0" xfId="0" applyFont="1" applyFill="1" applyBorder="1"/>
    <xf numFmtId="178" fontId="7" fillId="3" borderId="0" xfId="0" applyNumberFormat="1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178" fontId="11" fillId="3" borderId="10" xfId="0" applyNumberFormat="1" applyFont="1" applyFill="1" applyBorder="1" applyAlignment="1">
      <alignment horizontal="left" wrapText="1"/>
    </xf>
    <xf numFmtId="178" fontId="11" fillId="3" borderId="0" xfId="0" applyNumberFormat="1" applyFont="1" applyFill="1" applyBorder="1" applyAlignment="1">
      <alignment horizontal="left" wrapText="1"/>
    </xf>
    <xf numFmtId="175" fontId="11" fillId="3" borderId="10" xfId="0" applyNumberFormat="1" applyFont="1" applyFill="1" applyBorder="1" applyAlignment="1">
      <alignment horizontal="left" wrapText="1"/>
    </xf>
    <xf numFmtId="175" fontId="11" fillId="3" borderId="0" xfId="0" applyNumberFormat="1" applyFont="1" applyFill="1" applyBorder="1" applyAlignment="1">
      <alignment horizontal="left" wrapText="1"/>
    </xf>
    <xf numFmtId="175" fontId="7" fillId="3" borderId="0" xfId="0" applyNumberFormat="1" applyFont="1" applyFill="1" applyBorder="1" applyAlignment="1"/>
    <xf numFmtId="175" fontId="8" fillId="3" borderId="10" xfId="0" applyNumberFormat="1" applyFont="1" applyFill="1" applyBorder="1" applyAlignment="1">
      <alignment horizontal="left"/>
    </xf>
    <xf numFmtId="175" fontId="8" fillId="3" borderId="0" xfId="0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175" fontId="8" fillId="3" borderId="10" xfId="0" applyNumberFormat="1" applyFont="1" applyFill="1" applyBorder="1" applyAlignment="1">
      <alignment horizontal="center"/>
    </xf>
    <xf numFmtId="175" fontId="8" fillId="3" borderId="0" xfId="0" applyNumberFormat="1" applyFont="1" applyFill="1" applyBorder="1" applyAlignment="1">
      <alignment horizontal="center"/>
    </xf>
    <xf numFmtId="175" fontId="8" fillId="3" borderId="9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5" fillId="0" borderId="1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left"/>
    </xf>
    <xf numFmtId="0" fontId="11" fillId="0" borderId="10" xfId="0" applyFont="1" applyFill="1" applyBorder="1"/>
    <xf numFmtId="0" fontId="11" fillId="0" borderId="0" xfId="0" applyFont="1" applyFill="1" applyBorder="1"/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78" fontId="7" fillId="3" borderId="0" xfId="0" applyNumberFormat="1" applyFont="1" applyFill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91678" name="Imagem 3" descr="logoGoiasFomento">
          <a:extLst>
            <a:ext uri="{FF2B5EF4-FFF2-40B4-BE49-F238E27FC236}">
              <a16:creationId xmlns:a16="http://schemas.microsoft.com/office/drawing/2014/main" id="{44E60E7F-381D-48C3-B7B1-4A69B0A0C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91679" name="Imagem 4" descr="logoGoverno">
          <a:extLst>
            <a:ext uri="{FF2B5EF4-FFF2-40B4-BE49-F238E27FC236}">
              <a16:creationId xmlns:a16="http://schemas.microsoft.com/office/drawing/2014/main" id="{8483D308-6A39-4C59-A76B-F8B469D1C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91680" name="Imagem 5" descr="logoSegplan">
          <a:extLst>
            <a:ext uri="{FF2B5EF4-FFF2-40B4-BE49-F238E27FC236}">
              <a16:creationId xmlns:a16="http://schemas.microsoft.com/office/drawing/2014/main" id="{8A45894C-C781-4CB8-83F2-C878715F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92654" name="Imagem 3" descr="logoGoiasFomento">
          <a:extLst>
            <a:ext uri="{FF2B5EF4-FFF2-40B4-BE49-F238E27FC236}">
              <a16:creationId xmlns:a16="http://schemas.microsoft.com/office/drawing/2014/main" id="{478E87F9-1DC7-4922-8B6C-CAF5C9DD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92655" name="Imagem 4" descr="logoGoverno">
          <a:extLst>
            <a:ext uri="{FF2B5EF4-FFF2-40B4-BE49-F238E27FC236}">
              <a16:creationId xmlns:a16="http://schemas.microsoft.com/office/drawing/2014/main" id="{C35B85FF-B098-4C5C-AB3F-770C8338F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92656" name="Imagem 5" descr="logoSegplan">
          <a:extLst>
            <a:ext uri="{FF2B5EF4-FFF2-40B4-BE49-F238E27FC236}">
              <a16:creationId xmlns:a16="http://schemas.microsoft.com/office/drawing/2014/main" id="{50F5871B-1539-4A54-8E5A-A661101C4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94681" name="Imagem 3" descr="logoGoiasFomento">
          <a:extLst>
            <a:ext uri="{FF2B5EF4-FFF2-40B4-BE49-F238E27FC236}">
              <a16:creationId xmlns:a16="http://schemas.microsoft.com/office/drawing/2014/main" id="{8E4E39C9-339F-4C34-9276-C5328DB52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94682" name="Imagem 4" descr="logoGoverno">
          <a:extLst>
            <a:ext uri="{FF2B5EF4-FFF2-40B4-BE49-F238E27FC236}">
              <a16:creationId xmlns:a16="http://schemas.microsoft.com/office/drawing/2014/main" id="{C8B069B4-1F20-4F23-84F3-3BD3011B2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94683" name="Imagem 5" descr="logoSegplan">
          <a:extLst>
            <a:ext uri="{FF2B5EF4-FFF2-40B4-BE49-F238E27FC236}">
              <a16:creationId xmlns:a16="http://schemas.microsoft.com/office/drawing/2014/main" id="{2D6F2A64-6577-43B0-8533-5B3008098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95648" name="Imagem 3" descr="logoGoiasFomento">
          <a:extLst>
            <a:ext uri="{FF2B5EF4-FFF2-40B4-BE49-F238E27FC236}">
              <a16:creationId xmlns:a16="http://schemas.microsoft.com/office/drawing/2014/main" id="{109EAB12-BEAF-4F62-B967-4E612D029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95649" name="Imagem 4" descr="logoGoverno">
          <a:extLst>
            <a:ext uri="{FF2B5EF4-FFF2-40B4-BE49-F238E27FC236}">
              <a16:creationId xmlns:a16="http://schemas.microsoft.com/office/drawing/2014/main" id="{1AEDB5D8-F8C2-474C-8E17-BD047829F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95650" name="Imagem 5" descr="logoSegplan">
          <a:extLst>
            <a:ext uri="{FF2B5EF4-FFF2-40B4-BE49-F238E27FC236}">
              <a16:creationId xmlns:a16="http://schemas.microsoft.com/office/drawing/2014/main" id="{74D2DB90-1C99-4C0E-B9C2-8DE94FC15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0693" name="Imagem 3" descr="logoGoiasFomento">
          <a:extLst>
            <a:ext uri="{FF2B5EF4-FFF2-40B4-BE49-F238E27FC236}">
              <a16:creationId xmlns:a16="http://schemas.microsoft.com/office/drawing/2014/main" id="{413A0015-00FA-4121-A3AB-3536B799F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0694" name="Imagem 4" descr="logoGoverno">
          <a:extLst>
            <a:ext uri="{FF2B5EF4-FFF2-40B4-BE49-F238E27FC236}">
              <a16:creationId xmlns:a16="http://schemas.microsoft.com/office/drawing/2014/main" id="{D53B0B95-37DC-4C5A-B5B5-1263392A7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0695" name="Imagem 5" descr="logoSegplan">
          <a:extLst>
            <a:ext uri="{FF2B5EF4-FFF2-40B4-BE49-F238E27FC236}">
              <a16:creationId xmlns:a16="http://schemas.microsoft.com/office/drawing/2014/main" id="{FCBFB9C9-57B1-494B-AE0D-3B4B61FA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5720" name="Imagem 3" descr="logoGoiasFomento">
          <a:extLst>
            <a:ext uri="{FF2B5EF4-FFF2-40B4-BE49-F238E27FC236}">
              <a16:creationId xmlns:a16="http://schemas.microsoft.com/office/drawing/2014/main" id="{5833EBFD-D245-4199-A6DD-BA6C418A5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5721" name="Imagem 4" descr="logoGoverno">
          <a:extLst>
            <a:ext uri="{FF2B5EF4-FFF2-40B4-BE49-F238E27FC236}">
              <a16:creationId xmlns:a16="http://schemas.microsoft.com/office/drawing/2014/main" id="{6BB395FC-4617-4BCC-849D-7D5E5C16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5722" name="Imagem 5" descr="logoSegplan">
          <a:extLst>
            <a:ext uri="{FF2B5EF4-FFF2-40B4-BE49-F238E27FC236}">
              <a16:creationId xmlns:a16="http://schemas.microsoft.com/office/drawing/2014/main" id="{D8478789-150C-4790-9D32-9B772C0FC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161925</xdr:rowOff>
    </xdr:from>
    <xdr:to>
      <xdr:col>4</xdr:col>
      <xdr:colOff>885825</xdr:colOff>
      <xdr:row>5</xdr:row>
      <xdr:rowOff>114300</xdr:rowOff>
    </xdr:to>
    <xdr:pic>
      <xdr:nvPicPr>
        <xdr:cNvPr id="112670" name="Imagem 3" descr="logoGoiasFomento">
          <a:extLst>
            <a:ext uri="{FF2B5EF4-FFF2-40B4-BE49-F238E27FC236}">
              <a16:creationId xmlns:a16="http://schemas.microsoft.com/office/drawing/2014/main" id="{53441031-1B06-421E-984F-262305E98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61925"/>
          <a:ext cx="24574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86"/>
  <sheetViews>
    <sheetView topLeftCell="E52" workbookViewId="0">
      <selection activeCell="E23" sqref="E2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67"/>
      <c r="C4" s="267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67"/>
      <c r="C5" s="267"/>
      <c r="D5" s="79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68"/>
      <c r="B6" s="269"/>
      <c r="C6" s="269"/>
      <c r="D6" s="269"/>
      <c r="E6" s="269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70" t="s">
        <v>72</v>
      </c>
      <c r="B8" s="271"/>
      <c r="C8" s="271"/>
      <c r="D8" s="271"/>
      <c r="E8" s="271"/>
      <c r="F8" s="271"/>
      <c r="G8" s="271"/>
      <c r="H8" s="271"/>
      <c r="I8" s="271"/>
      <c r="J8" s="272"/>
    </row>
    <row r="9" spans="1:14" ht="15" customHeight="1" thickBot="1" x14ac:dyDescent="0.25">
      <c r="A9" s="270"/>
      <c r="B9" s="271"/>
      <c r="C9" s="271"/>
      <c r="D9" s="271"/>
      <c r="E9" s="271"/>
      <c r="F9" s="271"/>
      <c r="G9" s="271"/>
      <c r="H9" s="271"/>
      <c r="I9" s="271"/>
      <c r="J9" s="272"/>
    </row>
    <row r="10" spans="1:14" s="17" customFormat="1" ht="25.5" customHeight="1" thickBot="1" x14ac:dyDescent="0.35">
      <c r="A10" s="273" t="s">
        <v>4</v>
      </c>
      <c r="B10" s="274"/>
      <c r="C10" s="274"/>
      <c r="D10" s="274"/>
      <c r="E10" s="274"/>
      <c r="F10" s="273" t="s">
        <v>5</v>
      </c>
      <c r="G10" s="274"/>
      <c r="H10" s="274"/>
      <c r="I10" s="274"/>
      <c r="J10" s="275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43" t="s">
        <v>6</v>
      </c>
      <c r="B12" s="244"/>
      <c r="C12" s="244"/>
      <c r="D12" s="244"/>
      <c r="E12" s="51">
        <f>SUM(E14+E16+E19+E22+E28+E31+E35)</f>
        <v>117291523.52999999</v>
      </c>
      <c r="F12" s="261" t="s">
        <v>7</v>
      </c>
      <c r="G12" s="262"/>
      <c r="H12" s="262"/>
      <c r="I12" s="262"/>
      <c r="J12" s="43">
        <f>J16+J20</f>
        <v>9937084.5700000003</v>
      </c>
    </row>
    <row r="13" spans="1:14" s="19" customFormat="1" ht="15.75" x14ac:dyDescent="0.25">
      <c r="A13" s="77"/>
      <c r="B13" s="75"/>
      <c r="C13" s="75"/>
      <c r="D13" s="75"/>
      <c r="E13" s="52"/>
      <c r="F13" s="78"/>
      <c r="G13" s="73"/>
      <c r="H13" s="73"/>
      <c r="I13" s="73"/>
      <c r="J13" s="44"/>
    </row>
    <row r="14" spans="1:14" s="19" customFormat="1" ht="15.75" x14ac:dyDescent="0.25">
      <c r="A14" s="250" t="s">
        <v>8</v>
      </c>
      <c r="B14" s="251"/>
      <c r="C14" s="251"/>
      <c r="D14" s="251"/>
      <c r="E14" s="52">
        <v>49605.59</v>
      </c>
      <c r="F14" s="78"/>
      <c r="G14" s="263"/>
      <c r="H14" s="263"/>
      <c r="I14" s="263"/>
      <c r="J14" s="44"/>
    </row>
    <row r="15" spans="1:14" s="19" customFormat="1" ht="15.75" x14ac:dyDescent="0.25">
      <c r="A15" s="58"/>
      <c r="B15" s="75"/>
      <c r="C15" s="75"/>
      <c r="D15" s="75"/>
      <c r="E15" s="52"/>
      <c r="F15" s="264"/>
      <c r="G15" s="265"/>
      <c r="H15" s="265"/>
      <c r="I15" s="265"/>
      <c r="J15" s="266"/>
    </row>
    <row r="16" spans="1:14" s="19" customFormat="1" ht="15.75" x14ac:dyDescent="0.25">
      <c r="A16" s="250" t="s">
        <v>9</v>
      </c>
      <c r="B16" s="251"/>
      <c r="C16" s="251"/>
      <c r="D16" s="251"/>
      <c r="E16" s="51">
        <f>SUM(E17)</f>
        <v>2269237.38</v>
      </c>
      <c r="F16" s="258" t="s">
        <v>10</v>
      </c>
      <c r="G16" s="259"/>
      <c r="H16" s="259"/>
      <c r="I16" s="259"/>
      <c r="J16" s="45">
        <f>SUM(J17+J18)</f>
        <v>1582497.48</v>
      </c>
    </row>
    <row r="17" spans="1:10" ht="15.75" x14ac:dyDescent="0.25">
      <c r="A17" s="58"/>
      <c r="B17" s="242" t="s">
        <v>11</v>
      </c>
      <c r="C17" s="242"/>
      <c r="D17" s="242"/>
      <c r="E17" s="52">
        <v>2269237.38</v>
      </c>
      <c r="F17" s="78"/>
      <c r="G17" s="72" t="s">
        <v>12</v>
      </c>
      <c r="H17" s="32" t="s">
        <v>63</v>
      </c>
      <c r="I17" s="32"/>
      <c r="J17" s="46">
        <v>1268964.8899999999</v>
      </c>
    </row>
    <row r="18" spans="1:10" ht="15.75" x14ac:dyDescent="0.25">
      <c r="A18" s="58"/>
      <c r="B18" s="75"/>
      <c r="C18" s="75"/>
      <c r="D18" s="75"/>
      <c r="E18" s="52"/>
      <c r="F18" s="78"/>
      <c r="G18" s="72"/>
      <c r="H18" s="72" t="s">
        <v>12</v>
      </c>
      <c r="I18" s="32"/>
      <c r="J18" s="46">
        <v>313532.59000000003</v>
      </c>
    </row>
    <row r="19" spans="1:10" ht="15.75" x14ac:dyDescent="0.25">
      <c r="A19" s="250" t="s">
        <v>13</v>
      </c>
      <c r="B19" s="251"/>
      <c r="C19" s="251"/>
      <c r="D19" s="251"/>
      <c r="E19" s="51">
        <f>SUM(E20)</f>
        <v>67310536.75</v>
      </c>
      <c r="F19" s="78"/>
      <c r="G19" s="73"/>
      <c r="H19" s="72"/>
      <c r="I19" s="73"/>
      <c r="J19" s="46"/>
    </row>
    <row r="20" spans="1:10" ht="15.75" x14ac:dyDescent="0.25">
      <c r="A20" s="58"/>
      <c r="B20" s="242" t="s">
        <v>14</v>
      </c>
      <c r="C20" s="242"/>
      <c r="D20" s="242"/>
      <c r="E20" s="52">
        <v>67310536.75</v>
      </c>
      <c r="F20" s="258" t="s">
        <v>15</v>
      </c>
      <c r="G20" s="259"/>
      <c r="H20" s="259"/>
      <c r="I20" s="259"/>
      <c r="J20" s="45">
        <f>SUM(J21:J23)</f>
        <v>8354587.0899999999</v>
      </c>
    </row>
    <row r="21" spans="1:10" ht="15.75" x14ac:dyDescent="0.25">
      <c r="A21" s="58"/>
      <c r="B21" s="244"/>
      <c r="C21" s="244"/>
      <c r="D21" s="244"/>
      <c r="E21" s="51"/>
      <c r="F21" s="47"/>
      <c r="G21" s="260" t="s">
        <v>16</v>
      </c>
      <c r="H21" s="260"/>
      <c r="I21" s="260"/>
      <c r="J21" s="46">
        <v>1922631.44</v>
      </c>
    </row>
    <row r="22" spans="1:10" ht="15.75" x14ac:dyDescent="0.25">
      <c r="A22" s="250" t="s">
        <v>17</v>
      </c>
      <c r="B22" s="251"/>
      <c r="C22" s="251"/>
      <c r="D22" s="251"/>
      <c r="E22" s="51">
        <f>E23+E24+E25+E26</f>
        <v>30611832.16</v>
      </c>
      <c r="F22" s="47"/>
      <c r="G22" s="72" t="s">
        <v>18</v>
      </c>
      <c r="H22" s="72" t="s">
        <v>18</v>
      </c>
      <c r="I22" s="72"/>
      <c r="J22" s="46">
        <v>669577.99</v>
      </c>
    </row>
    <row r="23" spans="1:10" ht="15.75" x14ac:dyDescent="0.25">
      <c r="A23" s="58"/>
      <c r="B23" s="242" t="s">
        <v>19</v>
      </c>
      <c r="C23" s="242"/>
      <c r="D23" s="242"/>
      <c r="E23" s="52">
        <v>25960181.260000002</v>
      </c>
      <c r="F23" s="47"/>
      <c r="G23" s="72" t="s">
        <v>20</v>
      </c>
      <c r="H23" s="72" t="s">
        <v>20</v>
      </c>
      <c r="I23" s="72"/>
      <c r="J23" s="46">
        <f>34445.03+5727932.63</f>
        <v>5762377.6600000001</v>
      </c>
    </row>
    <row r="24" spans="1:10" ht="15.75" x14ac:dyDescent="0.25">
      <c r="A24" s="58"/>
      <c r="B24" s="255" t="s">
        <v>21</v>
      </c>
      <c r="C24" s="255"/>
      <c r="D24" s="255"/>
      <c r="E24" s="52">
        <f>7868031.29+1926080.41</f>
        <v>9794111.6999999993</v>
      </c>
      <c r="F24" s="47"/>
      <c r="G24" s="73"/>
      <c r="H24" s="72"/>
      <c r="I24" s="20"/>
      <c r="J24" s="46"/>
    </row>
    <row r="25" spans="1:10" ht="15.75" x14ac:dyDescent="0.25">
      <c r="A25" s="60"/>
      <c r="B25" s="255" t="s">
        <v>66</v>
      </c>
      <c r="C25" s="255"/>
      <c r="D25" s="255"/>
      <c r="E25" s="52">
        <v>43674.43</v>
      </c>
      <c r="F25" s="48"/>
      <c r="G25" s="71"/>
      <c r="H25" s="71"/>
      <c r="I25" s="71"/>
      <c r="J25" s="49"/>
    </row>
    <row r="26" spans="1:10" ht="15.75" x14ac:dyDescent="0.25">
      <c r="A26" s="58"/>
      <c r="B26" s="255" t="s">
        <v>22</v>
      </c>
      <c r="C26" s="255"/>
      <c r="D26" s="255"/>
      <c r="E26" s="52">
        <v>-5186135.2300000004</v>
      </c>
      <c r="F26" s="48"/>
      <c r="G26" s="71"/>
      <c r="H26" s="71"/>
      <c r="I26" s="71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50" t="s">
        <v>23</v>
      </c>
      <c r="B28" s="251"/>
      <c r="C28" s="251"/>
      <c r="D28" s="251"/>
      <c r="E28" s="51">
        <f>E29</f>
        <v>16720792.129999999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55" t="s">
        <v>24</v>
      </c>
      <c r="C29" s="255"/>
      <c r="D29" s="255"/>
      <c r="E29" s="52">
        <f>20805587.54-4084795.41</f>
        <v>16720792.129999999</v>
      </c>
      <c r="F29" s="256" t="s">
        <v>25</v>
      </c>
      <c r="G29" s="257"/>
      <c r="H29" s="257"/>
      <c r="I29" s="257"/>
      <c r="J29" s="51">
        <f>J33</f>
        <v>15730042.42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50"/>
      <c r="B31" s="251"/>
      <c r="C31" s="251"/>
      <c r="D31" s="251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2"/>
      <c r="C32" s="242"/>
      <c r="D32" s="74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2"/>
      <c r="C33" s="242"/>
      <c r="D33" s="74"/>
      <c r="E33" s="66"/>
      <c r="F33" s="256" t="s">
        <v>10</v>
      </c>
      <c r="G33" s="257"/>
      <c r="H33" s="257"/>
      <c r="I33" s="257"/>
      <c r="J33" s="51">
        <f>SUM(J34+J35)</f>
        <v>15730042.42</v>
      </c>
    </row>
    <row r="34" spans="1:15" ht="15.75" x14ac:dyDescent="0.25">
      <c r="A34" s="58"/>
      <c r="B34" s="20"/>
      <c r="C34" s="76"/>
      <c r="D34" s="76"/>
      <c r="E34" s="52"/>
      <c r="F34" s="48"/>
      <c r="G34" s="21" t="s">
        <v>57</v>
      </c>
      <c r="H34" s="21" t="s">
        <v>57</v>
      </c>
      <c r="I34" s="21"/>
      <c r="J34" s="52">
        <v>13176434.33</v>
      </c>
    </row>
    <row r="35" spans="1:15" ht="15.75" x14ac:dyDescent="0.25">
      <c r="A35" s="250" t="s">
        <v>26</v>
      </c>
      <c r="B35" s="251"/>
      <c r="C35" s="251"/>
      <c r="D35" s="251"/>
      <c r="E35" s="51">
        <f>E36</f>
        <v>329519.52</v>
      </c>
      <c r="F35" s="67"/>
      <c r="G35" s="68"/>
      <c r="H35" s="21" t="s">
        <v>12</v>
      </c>
      <c r="I35" s="21"/>
      <c r="J35" s="52">
        <v>2553608.09</v>
      </c>
    </row>
    <row r="36" spans="1:15" ht="15.75" x14ac:dyDescent="0.25">
      <c r="A36" s="58"/>
      <c r="B36" s="255" t="s">
        <v>27</v>
      </c>
      <c r="C36" s="255"/>
      <c r="D36" s="255"/>
      <c r="E36" s="52">
        <v>329519.52</v>
      </c>
      <c r="F36" s="48"/>
      <c r="G36" s="21"/>
      <c r="H36" s="21"/>
      <c r="I36" s="21"/>
      <c r="J36" s="49"/>
    </row>
    <row r="37" spans="1:15" ht="15.75" x14ac:dyDescent="0.25">
      <c r="A37" s="58"/>
      <c r="B37" s="76"/>
      <c r="C37" s="76"/>
      <c r="D37" s="76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76"/>
      <c r="C38" s="76"/>
      <c r="D38" s="76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42672624.670000002</v>
      </c>
      <c r="F39" s="245" t="s">
        <v>29</v>
      </c>
      <c r="G39" s="246"/>
      <c r="H39" s="246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54" t="s">
        <v>30</v>
      </c>
      <c r="H40" s="254"/>
      <c r="I40" s="254"/>
      <c r="J40" s="52">
        <v>133378731.77</v>
      </c>
    </row>
    <row r="41" spans="1:15" ht="15.75" x14ac:dyDescent="0.25">
      <c r="A41" s="250" t="s">
        <v>31</v>
      </c>
      <c r="B41" s="251"/>
      <c r="C41" s="251"/>
      <c r="D41" s="251"/>
      <c r="E41" s="51">
        <f>E42+E43+E44+E45</f>
        <v>38587829.260000005</v>
      </c>
      <c r="F41" s="48"/>
      <c r="G41" s="254" t="s">
        <v>32</v>
      </c>
      <c r="H41" s="254"/>
      <c r="I41" s="254"/>
      <c r="J41" s="52">
        <v>7312597.3899999997</v>
      </c>
    </row>
    <row r="42" spans="1:15" ht="15.75" x14ac:dyDescent="0.25">
      <c r="A42" s="60"/>
      <c r="B42" s="242" t="s">
        <v>19</v>
      </c>
      <c r="C42" s="242"/>
      <c r="D42" s="242"/>
      <c r="E42" s="52">
        <v>13498593.15</v>
      </c>
      <c r="F42" s="48"/>
      <c r="G42" s="254"/>
      <c r="H42" s="254"/>
      <c r="I42" s="254"/>
      <c r="J42" s="52"/>
    </row>
    <row r="43" spans="1:15" ht="15.75" x14ac:dyDescent="0.25">
      <c r="A43" s="60"/>
      <c r="B43" s="255" t="s">
        <v>21</v>
      </c>
      <c r="C43" s="255"/>
      <c r="D43" s="255"/>
      <c r="E43" s="52">
        <f>15494786.56+12011818.35</f>
        <v>27506604.91</v>
      </c>
      <c r="F43" s="48"/>
      <c r="G43" s="71"/>
      <c r="H43" s="71"/>
      <c r="I43" s="71"/>
      <c r="J43" s="49"/>
    </row>
    <row r="44" spans="1:15" ht="15.75" x14ac:dyDescent="0.25">
      <c r="A44" s="60"/>
      <c r="B44" s="255" t="s">
        <v>66</v>
      </c>
      <c r="C44" s="255"/>
      <c r="D44" s="255"/>
      <c r="E44" s="52">
        <v>611328.96</v>
      </c>
      <c r="F44" s="48"/>
      <c r="G44" s="71"/>
      <c r="H44" s="71"/>
      <c r="I44" s="71"/>
      <c r="J44" s="49"/>
    </row>
    <row r="45" spans="1:15" ht="15.75" x14ac:dyDescent="0.25">
      <c r="A45" s="60"/>
      <c r="B45" s="255" t="s">
        <v>22</v>
      </c>
      <c r="C45" s="255"/>
      <c r="D45" s="255"/>
      <c r="E45" s="52">
        <v>-3028697.76</v>
      </c>
      <c r="F45" s="48"/>
      <c r="G45" s="21"/>
      <c r="H45" s="21"/>
      <c r="I45" s="21"/>
      <c r="J45" s="53"/>
    </row>
    <row r="46" spans="1:15" ht="15" customHeight="1" x14ac:dyDescent="0.25">
      <c r="A46" s="250"/>
      <c r="B46" s="251"/>
      <c r="C46" s="251"/>
      <c r="D46" s="251"/>
      <c r="E46" s="51"/>
      <c r="F46" s="50" t="s">
        <v>33</v>
      </c>
      <c r="G46" s="80"/>
      <c r="H46" s="80"/>
      <c r="I46" s="80"/>
      <c r="J46" s="51">
        <f>SUM(J49:J54)</f>
        <v>87428.84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55"/>
      <c r="C47" s="255"/>
      <c r="D47" s="255"/>
      <c r="E47" s="52"/>
      <c r="F47" s="48"/>
      <c r="G47" s="254" t="s">
        <v>34</v>
      </c>
      <c r="H47" s="254"/>
      <c r="I47" s="254"/>
      <c r="J47" s="52">
        <v>11155142.77</v>
      </c>
      <c r="K47" s="48"/>
      <c r="L47" s="254"/>
      <c r="M47" s="254"/>
      <c r="N47" s="254"/>
      <c r="O47" s="83"/>
    </row>
    <row r="48" spans="1:15" ht="15.75" hidden="1" customHeight="1" x14ac:dyDescent="0.25">
      <c r="A48" s="60"/>
      <c r="B48" s="76"/>
      <c r="C48" s="76"/>
      <c r="D48" s="76"/>
      <c r="E48" s="52"/>
      <c r="F48" s="48"/>
      <c r="G48" s="254" t="s">
        <v>35</v>
      </c>
      <c r="H48" s="254"/>
      <c r="I48" s="254"/>
      <c r="J48" s="52">
        <v>-10361959.039999999</v>
      </c>
      <c r="K48" s="48"/>
      <c r="L48" s="81"/>
      <c r="M48" s="81"/>
      <c r="N48" s="81"/>
      <c r="O48" s="83"/>
    </row>
    <row r="49" spans="1:15" ht="15.75" x14ac:dyDescent="0.25">
      <c r="A49" s="60"/>
      <c r="B49" s="255"/>
      <c r="C49" s="255"/>
      <c r="D49" s="255"/>
      <c r="E49" s="52"/>
      <c r="F49" s="48"/>
      <c r="G49" s="254" t="s">
        <v>34</v>
      </c>
      <c r="H49" s="254"/>
      <c r="I49" s="254"/>
      <c r="J49" s="52">
        <v>2841914.21</v>
      </c>
      <c r="K49" s="50"/>
      <c r="L49" s="82"/>
      <c r="M49" s="82"/>
      <c r="N49" s="82"/>
      <c r="O49" s="84"/>
    </row>
    <row r="50" spans="1:15" ht="15.75" x14ac:dyDescent="0.25">
      <c r="A50" s="250" t="s">
        <v>23</v>
      </c>
      <c r="B50" s="251"/>
      <c r="C50" s="251"/>
      <c r="D50" s="251"/>
      <c r="E50" s="51">
        <f>E51+E52</f>
        <v>4084795.41</v>
      </c>
      <c r="F50" s="48"/>
      <c r="G50" s="254" t="s">
        <v>73</v>
      </c>
      <c r="H50" s="254"/>
      <c r="I50" s="254"/>
      <c r="J50" s="52">
        <v>-2775939.96</v>
      </c>
      <c r="K50" s="48"/>
      <c r="L50" s="254"/>
      <c r="M50" s="254"/>
      <c r="N50" s="254"/>
      <c r="O50" s="85"/>
    </row>
    <row r="51" spans="1:15" ht="15.75" x14ac:dyDescent="0.25">
      <c r="A51" s="60"/>
      <c r="B51" s="255" t="s">
        <v>58</v>
      </c>
      <c r="C51" s="255"/>
      <c r="D51" s="255"/>
      <c r="E51" s="52">
        <v>4084795.41</v>
      </c>
      <c r="F51" s="48"/>
      <c r="G51" s="254" t="s">
        <v>36</v>
      </c>
      <c r="H51" s="254"/>
      <c r="I51" s="254"/>
      <c r="J51" s="52">
        <v>0</v>
      </c>
      <c r="K51" s="48"/>
      <c r="L51" s="254"/>
      <c r="M51" s="254"/>
      <c r="N51" s="254"/>
      <c r="O51" s="85"/>
    </row>
    <row r="52" spans="1:15" ht="15.75" x14ac:dyDescent="0.25">
      <c r="A52" s="60"/>
      <c r="B52" s="255"/>
      <c r="C52" s="255"/>
      <c r="D52" s="255"/>
      <c r="E52" s="52"/>
      <c r="F52" s="48"/>
      <c r="G52" s="254" t="s">
        <v>74</v>
      </c>
      <c r="H52" s="254"/>
      <c r="I52" s="254"/>
      <c r="J52" s="52">
        <v>-289.52999999999997</v>
      </c>
      <c r="K52" s="48"/>
      <c r="L52" s="254"/>
      <c r="M52" s="254"/>
      <c r="N52" s="254"/>
      <c r="O52" s="85"/>
    </row>
    <row r="53" spans="1:15" s="19" customFormat="1" ht="15.75" x14ac:dyDescent="0.25">
      <c r="A53" s="243" t="s">
        <v>37</v>
      </c>
      <c r="B53" s="244"/>
      <c r="C53" s="244"/>
      <c r="D53" s="244"/>
      <c r="E53" s="51">
        <f>SUM(E54+E58+E61+E64)</f>
        <v>6481736.79</v>
      </c>
      <c r="F53" s="48"/>
      <c r="G53" s="254" t="s">
        <v>38</v>
      </c>
      <c r="H53" s="254"/>
      <c r="I53" s="254"/>
      <c r="J53" s="52">
        <v>-31322.43</v>
      </c>
    </row>
    <row r="54" spans="1:15" ht="15.75" x14ac:dyDescent="0.25">
      <c r="A54" s="250" t="s">
        <v>67</v>
      </c>
      <c r="B54" s="251"/>
      <c r="C54" s="251"/>
      <c r="D54" s="251"/>
      <c r="E54" s="51">
        <f>E55+E56+E57</f>
        <v>4006538.7</v>
      </c>
      <c r="F54" s="48"/>
      <c r="G54" s="254" t="s">
        <v>39</v>
      </c>
      <c r="H54" s="254"/>
      <c r="I54" s="254"/>
      <c r="J54" s="52">
        <v>53066.55</v>
      </c>
    </row>
    <row r="55" spans="1:15" ht="15.75" x14ac:dyDescent="0.25">
      <c r="A55" s="58"/>
      <c r="B55" s="242" t="s">
        <v>68</v>
      </c>
      <c r="C55" s="242"/>
      <c r="D55" s="242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2" t="s">
        <v>69</v>
      </c>
      <c r="C56" s="242"/>
      <c r="D56" s="242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2" t="s">
        <v>40</v>
      </c>
      <c r="C57" s="242"/>
      <c r="D57" s="242"/>
      <c r="E57" s="52">
        <f>-282725.04</f>
        <v>-282725.03999999998</v>
      </c>
      <c r="F57" s="48"/>
      <c r="G57" s="21"/>
      <c r="H57" s="21"/>
      <c r="I57" s="21"/>
      <c r="J57" s="49"/>
    </row>
    <row r="58" spans="1:15" ht="15.75" x14ac:dyDescent="0.25">
      <c r="A58" s="250" t="s">
        <v>70</v>
      </c>
      <c r="B58" s="251"/>
      <c r="C58" s="251"/>
      <c r="D58" s="251"/>
      <c r="E58" s="51">
        <f>E59+E60</f>
        <v>590608.5</v>
      </c>
      <c r="F58" s="48"/>
      <c r="G58" s="254"/>
      <c r="H58" s="254"/>
      <c r="I58" s="254"/>
      <c r="J58" s="52"/>
    </row>
    <row r="59" spans="1:15" ht="15.75" x14ac:dyDescent="0.25">
      <c r="A59" s="58"/>
      <c r="B59" s="242" t="s">
        <v>71</v>
      </c>
      <c r="C59" s="242"/>
      <c r="D59" s="242"/>
      <c r="E59" s="52">
        <v>1736321.02</v>
      </c>
      <c r="F59" s="48"/>
      <c r="G59" s="71"/>
      <c r="H59" s="71"/>
      <c r="I59" s="71"/>
      <c r="J59" s="49"/>
    </row>
    <row r="60" spans="1:15" ht="15.75" x14ac:dyDescent="0.25">
      <c r="A60" s="58"/>
      <c r="B60" s="242" t="s">
        <v>40</v>
      </c>
      <c r="C60" s="242"/>
      <c r="D60" s="242"/>
      <c r="E60" s="52">
        <v>-1145712.52</v>
      </c>
      <c r="F60" s="48"/>
      <c r="G60" s="71"/>
      <c r="H60" s="71"/>
      <c r="I60" s="71"/>
      <c r="J60" s="49"/>
    </row>
    <row r="61" spans="1:15" ht="15.75" x14ac:dyDescent="0.25">
      <c r="A61" s="250" t="s">
        <v>75</v>
      </c>
      <c r="B61" s="251"/>
      <c r="C61" s="251"/>
      <c r="D61" s="251"/>
      <c r="E61" s="51">
        <f>E62+E63</f>
        <v>1765.1000000000058</v>
      </c>
      <c r="F61" s="48"/>
      <c r="G61" s="21"/>
      <c r="H61" s="35"/>
      <c r="I61" s="21"/>
      <c r="J61" s="53"/>
    </row>
    <row r="62" spans="1:15" ht="15.75" x14ac:dyDescent="0.25">
      <c r="A62" s="58"/>
      <c r="B62" s="242" t="s">
        <v>42</v>
      </c>
      <c r="C62" s="242"/>
      <c r="D62" s="242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2" t="s">
        <v>41</v>
      </c>
      <c r="C63" s="242"/>
      <c r="D63" s="242"/>
      <c r="E63" s="52">
        <v>-71562.7</v>
      </c>
      <c r="F63" s="48"/>
      <c r="G63" s="71"/>
      <c r="H63" s="71"/>
      <c r="I63" s="71"/>
      <c r="J63" s="49"/>
    </row>
    <row r="64" spans="1:15" ht="15.75" x14ac:dyDescent="0.25">
      <c r="A64" s="252" t="s">
        <v>76</v>
      </c>
      <c r="B64" s="253"/>
      <c r="C64" s="253"/>
      <c r="D64" s="253"/>
      <c r="E64" s="51">
        <f>E65+E66</f>
        <v>1882824.49</v>
      </c>
      <c r="F64" s="48"/>
      <c r="G64" s="71"/>
      <c r="H64" s="254"/>
      <c r="I64" s="254"/>
      <c r="J64" s="49"/>
    </row>
    <row r="65" spans="1:12" ht="15.75" x14ac:dyDescent="0.25">
      <c r="A65" s="58"/>
      <c r="B65" s="242" t="s">
        <v>56</v>
      </c>
      <c r="C65" s="242"/>
      <c r="D65" s="242"/>
      <c r="E65" s="52">
        <v>2319674.58</v>
      </c>
      <c r="F65" s="48"/>
      <c r="G65" s="71"/>
      <c r="H65" s="71"/>
      <c r="I65" s="71"/>
      <c r="J65" s="49"/>
    </row>
    <row r="66" spans="1:12" ht="15.75" x14ac:dyDescent="0.25">
      <c r="A66" s="58"/>
      <c r="B66" s="242" t="s">
        <v>41</v>
      </c>
      <c r="C66" s="242"/>
      <c r="D66" s="242"/>
      <c r="E66" s="52">
        <v>-436850.09</v>
      </c>
      <c r="F66" s="48"/>
      <c r="G66" s="71"/>
      <c r="H66" s="71"/>
      <c r="I66" s="71"/>
      <c r="J66" s="49"/>
    </row>
    <row r="67" spans="1:12" s="19" customFormat="1" ht="24" customHeight="1" x14ac:dyDescent="0.25">
      <c r="A67" s="243" t="s">
        <v>43</v>
      </c>
      <c r="B67" s="244"/>
      <c r="C67" s="244"/>
      <c r="D67" s="244"/>
      <c r="E67" s="51">
        <f>E53+E39+E12</f>
        <v>166445884.98999998</v>
      </c>
      <c r="F67" s="245" t="s">
        <v>44</v>
      </c>
      <c r="G67" s="246"/>
      <c r="H67" s="246"/>
      <c r="I67" s="246"/>
      <c r="J67" s="51">
        <f>J39+J12+J29+J46</f>
        <v>166445884.98999998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7" t="s">
        <v>45</v>
      </c>
      <c r="B71" s="248"/>
      <c r="C71" s="248"/>
      <c r="D71" s="248"/>
      <c r="E71" s="248"/>
      <c r="F71" s="248" t="s">
        <v>46</v>
      </c>
      <c r="G71" s="248"/>
      <c r="H71" s="248"/>
      <c r="I71" s="248"/>
      <c r="J71" s="249"/>
    </row>
    <row r="72" spans="1:12" ht="15.75" x14ac:dyDescent="0.25">
      <c r="A72" s="231" t="s">
        <v>61</v>
      </c>
      <c r="B72" s="232"/>
      <c r="C72" s="232"/>
      <c r="D72" s="232"/>
      <c r="E72" s="232"/>
      <c r="F72" s="241"/>
      <c r="G72" s="241"/>
      <c r="H72" s="241"/>
      <c r="I72" s="241"/>
      <c r="J72" s="25"/>
    </row>
    <row r="73" spans="1:12" ht="15.75" x14ac:dyDescent="0.25">
      <c r="A73" s="231" t="s">
        <v>59</v>
      </c>
      <c r="B73" s="232"/>
      <c r="C73" s="232"/>
      <c r="D73" s="232"/>
      <c r="E73" s="232"/>
      <c r="F73" s="232" t="s">
        <v>47</v>
      </c>
      <c r="G73" s="232"/>
      <c r="H73" s="232"/>
      <c r="I73" s="232"/>
      <c r="J73" s="233"/>
    </row>
    <row r="74" spans="1:12" s="7" customFormat="1" ht="15.75" x14ac:dyDescent="0.25">
      <c r="A74" s="231" t="s">
        <v>62</v>
      </c>
      <c r="B74" s="232"/>
      <c r="C74" s="232"/>
      <c r="D74" s="232"/>
      <c r="E74" s="232"/>
      <c r="F74" s="232" t="s">
        <v>48</v>
      </c>
      <c r="G74" s="232"/>
      <c r="H74" s="232"/>
      <c r="I74" s="232"/>
      <c r="J74" s="233"/>
      <c r="K74" s="26"/>
    </row>
    <row r="75" spans="1:12" ht="15.75" x14ac:dyDescent="0.25">
      <c r="A75" s="231" t="s">
        <v>49</v>
      </c>
      <c r="B75" s="232"/>
      <c r="C75" s="232"/>
      <c r="D75" s="232"/>
      <c r="E75" s="232"/>
      <c r="F75" s="232" t="s">
        <v>50</v>
      </c>
      <c r="G75" s="232"/>
      <c r="H75" s="232"/>
      <c r="I75" s="232"/>
      <c r="J75" s="233"/>
    </row>
    <row r="76" spans="1:12" s="7" customFormat="1" ht="15.75" x14ac:dyDescent="0.25">
      <c r="A76" s="231" t="s">
        <v>64</v>
      </c>
      <c r="B76" s="232"/>
      <c r="C76" s="232"/>
      <c r="D76" s="232"/>
      <c r="E76" s="232"/>
      <c r="F76" s="237"/>
      <c r="G76" s="237"/>
      <c r="H76" s="237"/>
      <c r="I76" s="237"/>
      <c r="J76" s="238"/>
    </row>
    <row r="77" spans="1:12" ht="15.75" x14ac:dyDescent="0.25">
      <c r="A77" s="231" t="s">
        <v>65</v>
      </c>
      <c r="B77" s="232"/>
      <c r="C77" s="232"/>
      <c r="D77" s="232"/>
      <c r="E77" s="232"/>
      <c r="F77" s="239" t="s">
        <v>51</v>
      </c>
      <c r="G77" s="239"/>
      <c r="H77" s="239"/>
      <c r="I77" s="239"/>
      <c r="J77" s="240"/>
    </row>
    <row r="78" spans="1:12" ht="15.75" x14ac:dyDescent="0.25">
      <c r="A78" s="231" t="s">
        <v>60</v>
      </c>
      <c r="B78" s="232"/>
      <c r="C78" s="232"/>
      <c r="D78" s="232"/>
      <c r="E78" s="232"/>
      <c r="F78" s="232" t="s">
        <v>52</v>
      </c>
      <c r="G78" s="232"/>
      <c r="H78" s="232"/>
      <c r="I78" s="232"/>
      <c r="J78" s="233"/>
    </row>
    <row r="79" spans="1:12" ht="16.5" thickBot="1" x14ac:dyDescent="0.3">
      <c r="A79" s="234" t="s">
        <v>53</v>
      </c>
      <c r="B79" s="235"/>
      <c r="C79" s="235"/>
      <c r="D79" s="235"/>
      <c r="E79" s="235"/>
      <c r="F79" s="235" t="s">
        <v>54</v>
      </c>
      <c r="G79" s="235"/>
      <c r="H79" s="235"/>
      <c r="I79" s="235"/>
      <c r="J79" s="236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G50:I50"/>
    <mergeCell ref="G51:I51"/>
    <mergeCell ref="G52:I52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L47:N47"/>
    <mergeCell ref="B49:D49"/>
    <mergeCell ref="A50:D50"/>
    <mergeCell ref="L50:N50"/>
    <mergeCell ref="B51:D51"/>
    <mergeCell ref="L51:N51"/>
    <mergeCell ref="G47:I47"/>
    <mergeCell ref="G48:I48"/>
    <mergeCell ref="G49:I49"/>
    <mergeCell ref="B52:D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O86"/>
  <sheetViews>
    <sheetView topLeftCell="C33" workbookViewId="0">
      <selection activeCell="J52" sqref="J52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67"/>
      <c r="C4" s="267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67"/>
      <c r="C5" s="267"/>
      <c r="D5" s="9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68"/>
      <c r="B6" s="269"/>
      <c r="C6" s="269"/>
      <c r="D6" s="269"/>
      <c r="E6" s="269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70" t="s">
        <v>78</v>
      </c>
      <c r="B8" s="271"/>
      <c r="C8" s="271"/>
      <c r="D8" s="271"/>
      <c r="E8" s="271"/>
      <c r="F8" s="271"/>
      <c r="G8" s="271"/>
      <c r="H8" s="271"/>
      <c r="I8" s="271"/>
      <c r="J8" s="272"/>
    </row>
    <row r="9" spans="1:14" ht="15" customHeight="1" thickBot="1" x14ac:dyDescent="0.25">
      <c r="A9" s="270"/>
      <c r="B9" s="271"/>
      <c r="C9" s="271"/>
      <c r="D9" s="271"/>
      <c r="E9" s="271"/>
      <c r="F9" s="271"/>
      <c r="G9" s="271"/>
      <c r="H9" s="271"/>
      <c r="I9" s="271"/>
      <c r="J9" s="272"/>
    </row>
    <row r="10" spans="1:14" s="17" customFormat="1" ht="25.5" customHeight="1" thickBot="1" x14ac:dyDescent="0.35">
      <c r="A10" s="273" t="s">
        <v>4</v>
      </c>
      <c r="B10" s="274"/>
      <c r="C10" s="274"/>
      <c r="D10" s="274"/>
      <c r="E10" s="274"/>
      <c r="F10" s="273" t="s">
        <v>5</v>
      </c>
      <c r="G10" s="274"/>
      <c r="H10" s="274"/>
      <c r="I10" s="274"/>
      <c r="J10" s="275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43" t="s">
        <v>6</v>
      </c>
      <c r="B12" s="244"/>
      <c r="C12" s="244"/>
      <c r="D12" s="244"/>
      <c r="E12" s="51">
        <f>SUM(E14+E16+E19+E22+E28+E31+E35)</f>
        <v>114629788.05</v>
      </c>
      <c r="F12" s="261" t="s">
        <v>7</v>
      </c>
      <c r="G12" s="262"/>
      <c r="H12" s="262"/>
      <c r="I12" s="262"/>
      <c r="J12" s="43">
        <f>J16+J20</f>
        <v>10476096.57</v>
      </c>
    </row>
    <row r="13" spans="1:14" s="19" customFormat="1" ht="15.75" x14ac:dyDescent="0.25">
      <c r="A13" s="93"/>
      <c r="B13" s="91"/>
      <c r="C13" s="91"/>
      <c r="D13" s="91"/>
      <c r="E13" s="52"/>
      <c r="F13" s="94"/>
      <c r="G13" s="87"/>
      <c r="H13" s="87"/>
      <c r="I13" s="87"/>
      <c r="J13" s="44"/>
    </row>
    <row r="14" spans="1:14" s="19" customFormat="1" ht="15.75" x14ac:dyDescent="0.25">
      <c r="A14" s="250" t="s">
        <v>8</v>
      </c>
      <c r="B14" s="251"/>
      <c r="C14" s="251"/>
      <c r="D14" s="251"/>
      <c r="E14" s="52">
        <v>48647.4</v>
      </c>
      <c r="F14" s="94"/>
      <c r="G14" s="263"/>
      <c r="H14" s="263"/>
      <c r="I14" s="263"/>
      <c r="J14" s="44"/>
    </row>
    <row r="15" spans="1:14" s="19" customFormat="1" ht="15.75" x14ac:dyDescent="0.25">
      <c r="A15" s="58"/>
      <c r="B15" s="91"/>
      <c r="C15" s="91"/>
      <c r="D15" s="91"/>
      <c r="E15" s="52"/>
      <c r="F15" s="264"/>
      <c r="G15" s="265"/>
      <c r="H15" s="265"/>
      <c r="I15" s="265"/>
      <c r="J15" s="266"/>
    </row>
    <row r="16" spans="1:14" s="19" customFormat="1" ht="15.75" x14ac:dyDescent="0.25">
      <c r="A16" s="250" t="s">
        <v>9</v>
      </c>
      <c r="B16" s="251"/>
      <c r="C16" s="251"/>
      <c r="D16" s="251"/>
      <c r="E16" s="51">
        <f>SUM(E17)</f>
        <v>0.02</v>
      </c>
      <c r="F16" s="258" t="s">
        <v>10</v>
      </c>
      <c r="G16" s="259"/>
      <c r="H16" s="259"/>
      <c r="I16" s="259"/>
      <c r="J16" s="45">
        <f>SUM(J17+J18)</f>
        <v>2601270.3199999998</v>
      </c>
    </row>
    <row r="17" spans="1:10" ht="15.75" x14ac:dyDescent="0.25">
      <c r="A17" s="58"/>
      <c r="B17" s="242" t="s">
        <v>11</v>
      </c>
      <c r="C17" s="242"/>
      <c r="D17" s="242"/>
      <c r="E17" s="52">
        <v>0.02</v>
      </c>
      <c r="F17" s="94"/>
      <c r="G17" s="86" t="s">
        <v>12</v>
      </c>
      <c r="H17" s="32" t="s">
        <v>63</v>
      </c>
      <c r="I17" s="32"/>
      <c r="J17" s="46">
        <v>2133278.7599999998</v>
      </c>
    </row>
    <row r="18" spans="1:10" ht="15.75" x14ac:dyDescent="0.25">
      <c r="A18" s="58"/>
      <c r="B18" s="91"/>
      <c r="C18" s="91"/>
      <c r="D18" s="91"/>
      <c r="E18" s="52"/>
      <c r="F18" s="94"/>
      <c r="G18" s="86"/>
      <c r="H18" s="86" t="s">
        <v>12</v>
      </c>
      <c r="I18" s="32"/>
      <c r="J18" s="46">
        <v>467991.56</v>
      </c>
    </row>
    <row r="19" spans="1:10" ht="15.75" x14ac:dyDescent="0.25">
      <c r="A19" s="250" t="s">
        <v>13</v>
      </c>
      <c r="B19" s="251"/>
      <c r="C19" s="251"/>
      <c r="D19" s="251"/>
      <c r="E19" s="51">
        <f>SUM(E20)</f>
        <v>65966389.140000001</v>
      </c>
      <c r="F19" s="94"/>
      <c r="G19" s="87"/>
      <c r="H19" s="86"/>
      <c r="I19" s="87"/>
      <c r="J19" s="46"/>
    </row>
    <row r="20" spans="1:10" ht="15.75" x14ac:dyDescent="0.25">
      <c r="A20" s="58"/>
      <c r="B20" s="242" t="s">
        <v>14</v>
      </c>
      <c r="C20" s="242"/>
      <c r="D20" s="242"/>
      <c r="E20" s="52">
        <v>65966389.140000001</v>
      </c>
      <c r="F20" s="258" t="s">
        <v>15</v>
      </c>
      <c r="G20" s="259"/>
      <c r="H20" s="259"/>
      <c r="I20" s="259"/>
      <c r="J20" s="45">
        <f>SUM(J21:J23)</f>
        <v>7874826.25</v>
      </c>
    </row>
    <row r="21" spans="1:10" ht="15.75" x14ac:dyDescent="0.25">
      <c r="A21" s="58"/>
      <c r="B21" s="244"/>
      <c r="C21" s="244"/>
      <c r="D21" s="244"/>
      <c r="E21" s="51"/>
      <c r="F21" s="47"/>
      <c r="G21" s="260" t="s">
        <v>16</v>
      </c>
      <c r="H21" s="260"/>
      <c r="I21" s="260"/>
      <c r="J21" s="46">
        <v>1922631.44</v>
      </c>
    </row>
    <row r="22" spans="1:10" ht="15.75" x14ac:dyDescent="0.25">
      <c r="A22" s="250" t="s">
        <v>17</v>
      </c>
      <c r="B22" s="251"/>
      <c r="C22" s="251"/>
      <c r="D22" s="251"/>
      <c r="E22" s="51">
        <f>E23+E24+E25+E26</f>
        <v>31054791.419999998</v>
      </c>
      <c r="F22" s="47"/>
      <c r="G22" s="86" t="s">
        <v>18</v>
      </c>
      <c r="H22" s="86" t="s">
        <v>18</v>
      </c>
      <c r="I22" s="86"/>
      <c r="J22" s="46">
        <v>726202.09</v>
      </c>
    </row>
    <row r="23" spans="1:10" ht="15.75" x14ac:dyDescent="0.25">
      <c r="A23" s="58"/>
      <c r="B23" s="242" t="s">
        <v>19</v>
      </c>
      <c r="C23" s="242"/>
      <c r="D23" s="242"/>
      <c r="E23" s="52">
        <v>25848981.539999999</v>
      </c>
      <c r="F23" s="47"/>
      <c r="G23" s="86" t="s">
        <v>20</v>
      </c>
      <c r="H23" s="86" t="s">
        <v>20</v>
      </c>
      <c r="I23" s="86"/>
      <c r="J23" s="46">
        <f>46503.56+5179489.16</f>
        <v>5225992.72</v>
      </c>
    </row>
    <row r="24" spans="1:10" ht="15.75" x14ac:dyDescent="0.25">
      <c r="A24" s="58"/>
      <c r="B24" s="255" t="s">
        <v>21</v>
      </c>
      <c r="C24" s="255"/>
      <c r="D24" s="255"/>
      <c r="E24" s="52">
        <f>8241619.07+1909362.68</f>
        <v>10150981.75</v>
      </c>
      <c r="F24" s="47"/>
      <c r="G24" s="87"/>
      <c r="H24" s="86"/>
      <c r="I24" s="20"/>
      <c r="J24" s="46"/>
    </row>
    <row r="25" spans="1:10" ht="15.75" x14ac:dyDescent="0.25">
      <c r="A25" s="60"/>
      <c r="B25" s="255" t="s">
        <v>66</v>
      </c>
      <c r="C25" s="255"/>
      <c r="D25" s="255"/>
      <c r="E25" s="52">
        <v>59127.97</v>
      </c>
      <c r="F25" s="48"/>
      <c r="G25" s="88"/>
      <c r="H25" s="88"/>
      <c r="I25" s="88"/>
      <c r="J25" s="49"/>
    </row>
    <row r="26" spans="1:10" ht="15.75" x14ac:dyDescent="0.25">
      <c r="A26" s="58"/>
      <c r="B26" s="255" t="s">
        <v>22</v>
      </c>
      <c r="C26" s="255"/>
      <c r="D26" s="255"/>
      <c r="E26" s="52">
        <v>-5004299.84</v>
      </c>
      <c r="F26" s="48"/>
      <c r="G26" s="88"/>
      <c r="H26" s="88"/>
      <c r="I26" s="88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50" t="s">
        <v>23</v>
      </c>
      <c r="B28" s="251"/>
      <c r="C28" s="251"/>
      <c r="D28" s="251"/>
      <c r="E28" s="51">
        <f>E29</f>
        <v>17227567.75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55" t="s">
        <v>24</v>
      </c>
      <c r="C29" s="255"/>
      <c r="D29" s="255"/>
      <c r="E29" s="52">
        <f>21723826.96-4496259.21</f>
        <v>17227567.75</v>
      </c>
      <c r="F29" s="256" t="s">
        <v>25</v>
      </c>
      <c r="G29" s="257"/>
      <c r="H29" s="257"/>
      <c r="I29" s="257"/>
      <c r="J29" s="51">
        <f>J33</f>
        <v>17704445.199999999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50"/>
      <c r="B31" s="251"/>
      <c r="C31" s="251"/>
      <c r="D31" s="251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2"/>
      <c r="C32" s="242"/>
      <c r="D32" s="9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2"/>
      <c r="C33" s="242"/>
      <c r="D33" s="90"/>
      <c r="E33" s="66"/>
      <c r="F33" s="256" t="s">
        <v>10</v>
      </c>
      <c r="G33" s="257"/>
      <c r="H33" s="257"/>
      <c r="I33" s="257"/>
      <c r="J33" s="51">
        <f>SUM(J34+J35)</f>
        <v>17704445.199999999</v>
      </c>
    </row>
    <row r="34" spans="1:15" ht="15.75" x14ac:dyDescent="0.25">
      <c r="A34" s="58"/>
      <c r="B34" s="20"/>
      <c r="C34" s="92"/>
      <c r="D34" s="92"/>
      <c r="E34" s="52"/>
      <c r="F34" s="48"/>
      <c r="G34" s="21" t="s">
        <v>57</v>
      </c>
      <c r="H34" s="21" t="s">
        <v>57</v>
      </c>
      <c r="I34" s="21"/>
      <c r="J34" s="52">
        <v>13664792.15</v>
      </c>
    </row>
    <row r="35" spans="1:15" ht="15.75" x14ac:dyDescent="0.25">
      <c r="A35" s="250" t="s">
        <v>26</v>
      </c>
      <c r="B35" s="251"/>
      <c r="C35" s="251"/>
      <c r="D35" s="251"/>
      <c r="E35" s="51">
        <f>E36</f>
        <v>332392.32000000001</v>
      </c>
      <c r="F35" s="67"/>
      <c r="G35" s="68"/>
      <c r="H35" s="21" t="s">
        <v>12</v>
      </c>
      <c r="I35" s="21"/>
      <c r="J35" s="52">
        <v>4039653.05</v>
      </c>
    </row>
    <row r="36" spans="1:15" ht="15.75" x14ac:dyDescent="0.25">
      <c r="A36" s="58"/>
      <c r="B36" s="255" t="s">
        <v>27</v>
      </c>
      <c r="C36" s="255"/>
      <c r="D36" s="255"/>
      <c r="E36" s="52">
        <v>332392.32000000001</v>
      </c>
      <c r="F36" s="48"/>
      <c r="G36" s="21"/>
      <c r="H36" s="21"/>
      <c r="I36" s="21"/>
      <c r="J36" s="49"/>
    </row>
    <row r="37" spans="1:15" ht="15.75" x14ac:dyDescent="0.25">
      <c r="A37" s="58"/>
      <c r="B37" s="92"/>
      <c r="C37" s="92"/>
      <c r="D37" s="9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92"/>
      <c r="C38" s="92"/>
      <c r="D38" s="9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48311237.020000003</v>
      </c>
      <c r="F39" s="245" t="s">
        <v>29</v>
      </c>
      <c r="G39" s="246"/>
      <c r="H39" s="246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54" t="s">
        <v>30</v>
      </c>
      <c r="H40" s="254"/>
      <c r="I40" s="254"/>
      <c r="J40" s="52">
        <v>133378731.77</v>
      </c>
    </row>
    <row r="41" spans="1:15" ht="15.75" x14ac:dyDescent="0.25">
      <c r="A41" s="250" t="s">
        <v>31</v>
      </c>
      <c r="B41" s="251"/>
      <c r="C41" s="251"/>
      <c r="D41" s="251"/>
      <c r="E41" s="51">
        <f>E42+E43+E44+E45</f>
        <v>43814977.810000002</v>
      </c>
      <c r="F41" s="48"/>
      <c r="G41" s="254" t="s">
        <v>32</v>
      </c>
      <c r="H41" s="254"/>
      <c r="I41" s="254"/>
      <c r="J41" s="52">
        <v>7312597.3899999997</v>
      </c>
    </row>
    <row r="42" spans="1:15" ht="15.75" x14ac:dyDescent="0.25">
      <c r="A42" s="60"/>
      <c r="B42" s="242" t="s">
        <v>19</v>
      </c>
      <c r="C42" s="242"/>
      <c r="D42" s="242"/>
      <c r="E42" s="52">
        <v>14013415.560000001</v>
      </c>
      <c r="F42" s="48"/>
      <c r="G42" s="254"/>
      <c r="H42" s="254"/>
      <c r="I42" s="254"/>
      <c r="J42" s="52"/>
    </row>
    <row r="43" spans="1:15" ht="15.75" x14ac:dyDescent="0.25">
      <c r="A43" s="60"/>
      <c r="B43" s="255" t="s">
        <v>21</v>
      </c>
      <c r="C43" s="255"/>
      <c r="D43" s="255"/>
      <c r="E43" s="52">
        <f>18527102.1+12770078.51</f>
        <v>31297180.609999999</v>
      </c>
      <c r="F43" s="48"/>
      <c r="G43" s="88"/>
      <c r="H43" s="88"/>
      <c r="I43" s="88"/>
      <c r="J43" s="49"/>
    </row>
    <row r="44" spans="1:15" ht="15.75" x14ac:dyDescent="0.25">
      <c r="A44" s="60"/>
      <c r="B44" s="255" t="s">
        <v>66</v>
      </c>
      <c r="C44" s="255"/>
      <c r="D44" s="255"/>
      <c r="E44" s="52">
        <v>1169638.82</v>
      </c>
      <c r="F44" s="48"/>
      <c r="G44" s="88"/>
      <c r="H44" s="88"/>
      <c r="I44" s="88"/>
      <c r="J44" s="49"/>
    </row>
    <row r="45" spans="1:15" ht="15.75" x14ac:dyDescent="0.25">
      <c r="A45" s="60"/>
      <c r="B45" s="255" t="s">
        <v>22</v>
      </c>
      <c r="C45" s="255"/>
      <c r="D45" s="255"/>
      <c r="E45" s="52">
        <v>-2665257.1800000002</v>
      </c>
      <c r="F45" s="48"/>
      <c r="G45" s="21"/>
      <c r="H45" s="21"/>
      <c r="I45" s="21"/>
      <c r="J45" s="53"/>
    </row>
    <row r="46" spans="1:15" ht="15" customHeight="1" x14ac:dyDescent="0.25">
      <c r="A46" s="250"/>
      <c r="B46" s="251"/>
      <c r="C46" s="251"/>
      <c r="D46" s="251"/>
      <c r="E46" s="51"/>
      <c r="F46" s="50" t="s">
        <v>33</v>
      </c>
      <c r="G46" s="89"/>
      <c r="H46" s="89"/>
      <c r="I46" s="89"/>
      <c r="J46" s="51">
        <f>SUM(J49:J54)</f>
        <v>517196.26000000024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55"/>
      <c r="C47" s="255"/>
      <c r="D47" s="255"/>
      <c r="E47" s="52"/>
      <c r="F47" s="48"/>
      <c r="G47" s="254" t="s">
        <v>34</v>
      </c>
      <c r="H47" s="254"/>
      <c r="I47" s="254"/>
      <c r="J47" s="52">
        <v>11155142.77</v>
      </c>
      <c r="K47" s="48"/>
      <c r="L47" s="254"/>
      <c r="M47" s="254"/>
      <c r="N47" s="254"/>
      <c r="O47" s="83"/>
    </row>
    <row r="48" spans="1:15" ht="15.75" hidden="1" customHeight="1" x14ac:dyDescent="0.25">
      <c r="A48" s="60"/>
      <c r="B48" s="92"/>
      <c r="C48" s="92"/>
      <c r="D48" s="92"/>
      <c r="E48" s="52"/>
      <c r="F48" s="48"/>
      <c r="G48" s="254" t="s">
        <v>35</v>
      </c>
      <c r="H48" s="254"/>
      <c r="I48" s="254"/>
      <c r="J48" s="52">
        <v>-10361959.039999999</v>
      </c>
      <c r="K48" s="48"/>
      <c r="L48" s="88"/>
      <c r="M48" s="88"/>
      <c r="N48" s="88"/>
      <c r="O48" s="83"/>
    </row>
    <row r="49" spans="1:15" ht="15.75" x14ac:dyDescent="0.25">
      <c r="A49" s="60"/>
      <c r="B49" s="255"/>
      <c r="C49" s="255"/>
      <c r="D49" s="255"/>
      <c r="E49" s="52"/>
      <c r="F49" s="48"/>
      <c r="G49" s="254" t="s">
        <v>34</v>
      </c>
      <c r="H49" s="254"/>
      <c r="I49" s="254"/>
      <c r="J49" s="52">
        <v>4999497.8</v>
      </c>
      <c r="K49" s="50"/>
      <c r="L49" s="89"/>
      <c r="M49" s="89"/>
      <c r="N49" s="89"/>
      <c r="O49" s="84"/>
    </row>
    <row r="50" spans="1:15" ht="15.75" x14ac:dyDescent="0.25">
      <c r="A50" s="250" t="s">
        <v>23</v>
      </c>
      <c r="B50" s="251"/>
      <c r="C50" s="251"/>
      <c r="D50" s="251"/>
      <c r="E50" s="51">
        <f>E51+E52</f>
        <v>4496259.21</v>
      </c>
      <c r="F50" s="48"/>
      <c r="G50" s="254" t="s">
        <v>73</v>
      </c>
      <c r="H50" s="254"/>
      <c r="I50" s="254"/>
      <c r="J50" s="52">
        <v>-4640430.0599999996</v>
      </c>
      <c r="K50" s="48"/>
      <c r="L50" s="254"/>
      <c r="M50" s="254"/>
      <c r="N50" s="254"/>
      <c r="O50" s="85"/>
    </row>
    <row r="51" spans="1:15" ht="15.75" x14ac:dyDescent="0.25">
      <c r="A51" s="60"/>
      <c r="B51" s="255" t="s">
        <v>58</v>
      </c>
      <c r="C51" s="255"/>
      <c r="D51" s="255"/>
      <c r="E51" s="52">
        <v>4496259.21</v>
      </c>
      <c r="F51" s="48"/>
      <c r="G51" s="254" t="s">
        <v>36</v>
      </c>
      <c r="H51" s="254"/>
      <c r="I51" s="254"/>
      <c r="J51" s="52">
        <v>0</v>
      </c>
      <c r="K51" s="48"/>
      <c r="L51" s="254"/>
      <c r="M51" s="254"/>
      <c r="N51" s="254"/>
      <c r="O51" s="85"/>
    </row>
    <row r="52" spans="1:15" ht="15.75" x14ac:dyDescent="0.25">
      <c r="A52" s="60"/>
      <c r="B52" s="255"/>
      <c r="C52" s="255"/>
      <c r="D52" s="255"/>
      <c r="E52" s="52"/>
      <c r="F52" s="48"/>
      <c r="G52" s="254" t="s">
        <v>74</v>
      </c>
      <c r="H52" s="254"/>
      <c r="I52" s="254"/>
      <c r="J52" s="52">
        <v>-718.2</v>
      </c>
      <c r="K52" s="48"/>
      <c r="L52" s="254"/>
      <c r="M52" s="254"/>
      <c r="N52" s="254"/>
      <c r="O52" s="85"/>
    </row>
    <row r="53" spans="1:15" s="19" customFormat="1" ht="15.75" x14ac:dyDescent="0.25">
      <c r="A53" s="243" t="s">
        <v>37</v>
      </c>
      <c r="B53" s="244"/>
      <c r="C53" s="244"/>
      <c r="D53" s="244"/>
      <c r="E53" s="51">
        <f>SUM(E54+E58+E61+E64)</f>
        <v>6448042.120000001</v>
      </c>
      <c r="F53" s="48"/>
      <c r="G53" s="254" t="s">
        <v>38</v>
      </c>
      <c r="H53" s="254"/>
      <c r="I53" s="254"/>
      <c r="J53" s="52">
        <v>100779.2</v>
      </c>
    </row>
    <row r="54" spans="1:15" ht="15.75" x14ac:dyDescent="0.25">
      <c r="A54" s="250" t="s">
        <v>67</v>
      </c>
      <c r="B54" s="251"/>
      <c r="C54" s="251"/>
      <c r="D54" s="251"/>
      <c r="E54" s="51">
        <f>E55+E56+E57</f>
        <v>4000476.8400000003</v>
      </c>
      <c r="F54" s="48"/>
      <c r="G54" s="254" t="s">
        <v>39</v>
      </c>
      <c r="H54" s="254"/>
      <c r="I54" s="254"/>
      <c r="J54" s="52">
        <v>58067.519999999997</v>
      </c>
    </row>
    <row r="55" spans="1:15" ht="15.75" x14ac:dyDescent="0.25">
      <c r="A55" s="58"/>
      <c r="B55" s="242" t="s">
        <v>68</v>
      </c>
      <c r="C55" s="242"/>
      <c r="D55" s="242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2" t="s">
        <v>69</v>
      </c>
      <c r="C56" s="242"/>
      <c r="D56" s="242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2" t="s">
        <v>40</v>
      </c>
      <c r="C57" s="242"/>
      <c r="D57" s="242"/>
      <c r="E57" s="52">
        <v>-288786.90000000002</v>
      </c>
      <c r="F57" s="48"/>
      <c r="G57" s="21"/>
      <c r="H57" s="21"/>
      <c r="I57" s="21"/>
      <c r="J57" s="49"/>
    </row>
    <row r="58" spans="1:15" ht="15.75" x14ac:dyDescent="0.25">
      <c r="A58" s="250" t="s">
        <v>70</v>
      </c>
      <c r="B58" s="251"/>
      <c r="C58" s="251"/>
      <c r="D58" s="251"/>
      <c r="E58" s="51">
        <f>E59+E60</f>
        <v>586075.18999999994</v>
      </c>
      <c r="F58" s="48"/>
      <c r="G58" s="254"/>
      <c r="H58" s="254"/>
      <c r="I58" s="254"/>
      <c r="J58" s="52"/>
    </row>
    <row r="59" spans="1:15" ht="15.75" x14ac:dyDescent="0.25">
      <c r="A59" s="58"/>
      <c r="B59" s="242" t="s">
        <v>71</v>
      </c>
      <c r="C59" s="242"/>
      <c r="D59" s="242"/>
      <c r="E59" s="52">
        <f>375729.22+61098.98+168275.1+4766.11+3051+46211.5+660540.56+39036.25+387021.3</f>
        <v>1745730.02</v>
      </c>
      <c r="F59" s="48"/>
      <c r="G59" s="88"/>
      <c r="H59" s="88"/>
      <c r="I59" s="88"/>
      <c r="J59" s="49"/>
    </row>
    <row r="60" spans="1:15" ht="15.75" x14ac:dyDescent="0.25">
      <c r="A60" s="58"/>
      <c r="B60" s="242" t="s">
        <v>40</v>
      </c>
      <c r="C60" s="242"/>
      <c r="D60" s="242"/>
      <c r="E60" s="52">
        <f>-779831.38-379823.45</f>
        <v>-1159654.83</v>
      </c>
      <c r="F60" s="48"/>
      <c r="G60" s="88"/>
      <c r="H60" s="88"/>
      <c r="I60" s="88"/>
      <c r="J60" s="49"/>
    </row>
    <row r="61" spans="1:15" ht="15.75" x14ac:dyDescent="0.25">
      <c r="A61" s="250" t="s">
        <v>75</v>
      </c>
      <c r="B61" s="251"/>
      <c r="C61" s="251"/>
      <c r="D61" s="251"/>
      <c r="E61" s="51">
        <f>E62+E63</f>
        <v>1758.6200000000099</v>
      </c>
      <c r="F61" s="48"/>
      <c r="G61" s="21"/>
      <c r="H61" s="35"/>
      <c r="I61" s="21"/>
      <c r="J61" s="53"/>
    </row>
    <row r="62" spans="1:15" ht="15.75" x14ac:dyDescent="0.25">
      <c r="A62" s="58"/>
      <c r="B62" s="242" t="s">
        <v>42</v>
      </c>
      <c r="C62" s="242"/>
      <c r="D62" s="242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2" t="s">
        <v>41</v>
      </c>
      <c r="C63" s="242"/>
      <c r="D63" s="242"/>
      <c r="E63" s="52">
        <v>-71569.179999999993</v>
      </c>
      <c r="F63" s="48"/>
      <c r="G63" s="88"/>
      <c r="H63" s="88"/>
      <c r="I63" s="88"/>
      <c r="J63" s="49"/>
    </row>
    <row r="64" spans="1:15" ht="15.75" x14ac:dyDescent="0.25">
      <c r="A64" s="252" t="s">
        <v>76</v>
      </c>
      <c r="B64" s="253"/>
      <c r="C64" s="253"/>
      <c r="D64" s="253"/>
      <c r="E64" s="51">
        <f>E65+E66</f>
        <v>1859731.4700000002</v>
      </c>
      <c r="F64" s="48"/>
      <c r="G64" s="88"/>
      <c r="H64" s="254"/>
      <c r="I64" s="254"/>
      <c r="J64" s="49"/>
    </row>
    <row r="65" spans="1:12" ht="15.75" x14ac:dyDescent="0.25">
      <c r="A65" s="58"/>
      <c r="B65" s="242" t="s">
        <v>56</v>
      </c>
      <c r="C65" s="242"/>
      <c r="D65" s="242"/>
      <c r="E65" s="52">
        <f>2319674.58+10830</f>
        <v>2330504.58</v>
      </c>
      <c r="F65" s="48"/>
      <c r="G65" s="88"/>
      <c r="H65" s="88"/>
      <c r="I65" s="88"/>
      <c r="J65" s="49"/>
    </row>
    <row r="66" spans="1:12" ht="15.75" x14ac:dyDescent="0.25">
      <c r="A66" s="58"/>
      <c r="B66" s="242" t="s">
        <v>41</v>
      </c>
      <c r="C66" s="242"/>
      <c r="D66" s="242"/>
      <c r="E66" s="52">
        <v>-470773.11</v>
      </c>
      <c r="F66" s="48"/>
      <c r="G66" s="88"/>
      <c r="H66" s="88"/>
      <c r="I66" s="88"/>
      <c r="J66" s="49"/>
    </row>
    <row r="67" spans="1:12" s="19" customFormat="1" ht="24" customHeight="1" x14ac:dyDescent="0.25">
      <c r="A67" s="243" t="s">
        <v>43</v>
      </c>
      <c r="B67" s="244"/>
      <c r="C67" s="244"/>
      <c r="D67" s="244"/>
      <c r="E67" s="51">
        <f>E53+E39+E12</f>
        <v>169389067.19</v>
      </c>
      <c r="F67" s="245" t="s">
        <v>44</v>
      </c>
      <c r="G67" s="246"/>
      <c r="H67" s="246"/>
      <c r="I67" s="246"/>
      <c r="J67" s="51">
        <f>J39+J12+J29+J46</f>
        <v>169389067.18999997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7" t="s">
        <v>45</v>
      </c>
      <c r="B71" s="248"/>
      <c r="C71" s="248"/>
      <c r="D71" s="248"/>
      <c r="E71" s="248"/>
      <c r="F71" s="248" t="s">
        <v>46</v>
      </c>
      <c r="G71" s="248"/>
      <c r="H71" s="248"/>
      <c r="I71" s="248"/>
      <c r="J71" s="249"/>
    </row>
    <row r="72" spans="1:12" ht="15.75" x14ac:dyDescent="0.25">
      <c r="A72" s="231" t="s">
        <v>61</v>
      </c>
      <c r="B72" s="232"/>
      <c r="C72" s="232"/>
      <c r="D72" s="232"/>
      <c r="E72" s="232"/>
      <c r="F72" s="241"/>
      <c r="G72" s="241"/>
      <c r="H72" s="241"/>
      <c r="I72" s="241"/>
      <c r="J72" s="25"/>
    </row>
    <row r="73" spans="1:12" ht="15.75" x14ac:dyDescent="0.25">
      <c r="A73" s="231" t="s">
        <v>59</v>
      </c>
      <c r="B73" s="232"/>
      <c r="C73" s="232"/>
      <c r="D73" s="232"/>
      <c r="E73" s="232"/>
      <c r="F73" s="232" t="s">
        <v>47</v>
      </c>
      <c r="G73" s="232"/>
      <c r="H73" s="232"/>
      <c r="I73" s="232"/>
      <c r="J73" s="233"/>
    </row>
    <row r="74" spans="1:12" s="7" customFormat="1" ht="15.75" x14ac:dyDescent="0.25">
      <c r="A74" s="231" t="s">
        <v>62</v>
      </c>
      <c r="B74" s="232"/>
      <c r="C74" s="232"/>
      <c r="D74" s="232"/>
      <c r="E74" s="232"/>
      <c r="F74" s="232" t="s">
        <v>48</v>
      </c>
      <c r="G74" s="232"/>
      <c r="H74" s="232"/>
      <c r="I74" s="232"/>
      <c r="J74" s="233"/>
      <c r="K74" s="26"/>
    </row>
    <row r="75" spans="1:12" ht="15.75" x14ac:dyDescent="0.25">
      <c r="A75" s="231" t="s">
        <v>49</v>
      </c>
      <c r="B75" s="232"/>
      <c r="C75" s="232"/>
      <c r="D75" s="232"/>
      <c r="E75" s="232"/>
      <c r="F75" s="232" t="s">
        <v>50</v>
      </c>
      <c r="G75" s="232"/>
      <c r="H75" s="232"/>
      <c r="I75" s="232"/>
      <c r="J75" s="233"/>
    </row>
    <row r="76" spans="1:12" s="7" customFormat="1" ht="15.75" x14ac:dyDescent="0.25">
      <c r="A76" s="231" t="s">
        <v>64</v>
      </c>
      <c r="B76" s="232"/>
      <c r="C76" s="232"/>
      <c r="D76" s="232"/>
      <c r="E76" s="232"/>
      <c r="F76" s="237"/>
      <c r="G76" s="237"/>
      <c r="H76" s="237"/>
      <c r="I76" s="237"/>
      <c r="J76" s="238"/>
    </row>
    <row r="77" spans="1:12" ht="15.75" x14ac:dyDescent="0.25">
      <c r="A77" s="231" t="s">
        <v>65</v>
      </c>
      <c r="B77" s="232"/>
      <c r="C77" s="232"/>
      <c r="D77" s="232"/>
      <c r="E77" s="232"/>
      <c r="F77" s="239" t="s">
        <v>51</v>
      </c>
      <c r="G77" s="239"/>
      <c r="H77" s="239"/>
      <c r="I77" s="239"/>
      <c r="J77" s="240"/>
    </row>
    <row r="78" spans="1:12" ht="15.75" x14ac:dyDescent="0.25">
      <c r="A78" s="231" t="s">
        <v>60</v>
      </c>
      <c r="B78" s="232"/>
      <c r="C78" s="232"/>
      <c r="D78" s="232"/>
      <c r="E78" s="232"/>
      <c r="F78" s="232" t="s">
        <v>52</v>
      </c>
      <c r="G78" s="232"/>
      <c r="H78" s="232"/>
      <c r="I78" s="232"/>
      <c r="J78" s="233"/>
    </row>
    <row r="79" spans="1:12" ht="16.5" thickBot="1" x14ac:dyDescent="0.3">
      <c r="A79" s="234" t="s">
        <v>53</v>
      </c>
      <c r="B79" s="235"/>
      <c r="C79" s="235"/>
      <c r="D79" s="235"/>
      <c r="E79" s="235"/>
      <c r="F79" s="235" t="s">
        <v>54</v>
      </c>
      <c r="G79" s="235"/>
      <c r="H79" s="235"/>
      <c r="I79" s="235"/>
      <c r="J79" s="236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2:E72"/>
    <mergeCell ref="F72:I72"/>
    <mergeCell ref="A73:E73"/>
    <mergeCell ref="F73:J73"/>
    <mergeCell ref="A74:E74"/>
    <mergeCell ref="F74:J74"/>
    <mergeCell ref="B65:D65"/>
    <mergeCell ref="B66:D66"/>
    <mergeCell ref="A67:D67"/>
    <mergeCell ref="F67:I67"/>
    <mergeCell ref="A71:E71"/>
    <mergeCell ref="F71:J71"/>
    <mergeCell ref="B60:D60"/>
    <mergeCell ref="A61:D61"/>
    <mergeCell ref="B62:D62"/>
    <mergeCell ref="B63:D63"/>
    <mergeCell ref="A64:D64"/>
    <mergeCell ref="H64:I64"/>
    <mergeCell ref="B55:D55"/>
    <mergeCell ref="B56:D56"/>
    <mergeCell ref="B57:D57"/>
    <mergeCell ref="A58:D58"/>
    <mergeCell ref="G58:I58"/>
    <mergeCell ref="B59:D59"/>
    <mergeCell ref="B52:D52"/>
    <mergeCell ref="G52:I52"/>
    <mergeCell ref="L52:N52"/>
    <mergeCell ref="A53:D53"/>
    <mergeCell ref="G53:I53"/>
    <mergeCell ref="A54:D54"/>
    <mergeCell ref="G54:I54"/>
    <mergeCell ref="A50:D50"/>
    <mergeCell ref="G50:I50"/>
    <mergeCell ref="L50:N50"/>
    <mergeCell ref="B51:D51"/>
    <mergeCell ref="G51:I51"/>
    <mergeCell ref="L51:N51"/>
    <mergeCell ref="B47:D47"/>
    <mergeCell ref="G47:I47"/>
    <mergeCell ref="L47:N47"/>
    <mergeCell ref="G48:I48"/>
    <mergeCell ref="B49:D49"/>
    <mergeCell ref="G49:I49"/>
    <mergeCell ref="B42:D42"/>
    <mergeCell ref="G42:I42"/>
    <mergeCell ref="B43:D43"/>
    <mergeCell ref="B44:D44"/>
    <mergeCell ref="B45:D45"/>
    <mergeCell ref="A46:D46"/>
    <mergeCell ref="A35:D35"/>
    <mergeCell ref="B36:D36"/>
    <mergeCell ref="F39:H39"/>
    <mergeCell ref="G40:I40"/>
    <mergeCell ref="A41:D41"/>
    <mergeCell ref="G41:I41"/>
    <mergeCell ref="B29:D29"/>
    <mergeCell ref="F29:I29"/>
    <mergeCell ref="A31:D31"/>
    <mergeCell ref="B32:C32"/>
    <mergeCell ref="B33:C33"/>
    <mergeCell ref="F33:I33"/>
    <mergeCell ref="A22:D22"/>
    <mergeCell ref="B23:D23"/>
    <mergeCell ref="B24:D24"/>
    <mergeCell ref="B25:D25"/>
    <mergeCell ref="B26:D26"/>
    <mergeCell ref="A28:D28"/>
    <mergeCell ref="B17:D17"/>
    <mergeCell ref="A19:D19"/>
    <mergeCell ref="B20:D20"/>
    <mergeCell ref="F20:I20"/>
    <mergeCell ref="B21:D21"/>
    <mergeCell ref="G21:I21"/>
    <mergeCell ref="A12:D12"/>
    <mergeCell ref="F12:I12"/>
    <mergeCell ref="A14:D14"/>
    <mergeCell ref="G14:I14"/>
    <mergeCell ref="F15:J15"/>
    <mergeCell ref="A16:D16"/>
    <mergeCell ref="F16:I16"/>
    <mergeCell ref="B4:B5"/>
    <mergeCell ref="C4:C5"/>
    <mergeCell ref="A6:E6"/>
    <mergeCell ref="A8:J9"/>
    <mergeCell ref="A10:E10"/>
    <mergeCell ref="F10:J10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O86"/>
  <sheetViews>
    <sheetView topLeftCell="A36" workbookViewId="0">
      <selection activeCell="E43" sqref="E4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67"/>
      <c r="C4" s="267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67"/>
      <c r="C5" s="267"/>
      <c r="D5" s="10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68"/>
      <c r="B6" s="269"/>
      <c r="C6" s="269"/>
      <c r="D6" s="269"/>
      <c r="E6" s="269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70" t="s">
        <v>77</v>
      </c>
      <c r="B8" s="271"/>
      <c r="C8" s="271"/>
      <c r="D8" s="271"/>
      <c r="E8" s="271"/>
      <c r="F8" s="271"/>
      <c r="G8" s="271"/>
      <c r="H8" s="271"/>
      <c r="I8" s="271"/>
      <c r="J8" s="272"/>
    </row>
    <row r="9" spans="1:14" ht="15" customHeight="1" thickBot="1" x14ac:dyDescent="0.25">
      <c r="A9" s="270"/>
      <c r="B9" s="271"/>
      <c r="C9" s="271"/>
      <c r="D9" s="271"/>
      <c r="E9" s="271"/>
      <c r="F9" s="271"/>
      <c r="G9" s="271"/>
      <c r="H9" s="271"/>
      <c r="I9" s="271"/>
      <c r="J9" s="272"/>
    </row>
    <row r="10" spans="1:14" s="17" customFormat="1" ht="25.5" customHeight="1" thickBot="1" x14ac:dyDescent="0.35">
      <c r="A10" s="273" t="s">
        <v>4</v>
      </c>
      <c r="B10" s="274"/>
      <c r="C10" s="274"/>
      <c r="D10" s="274"/>
      <c r="E10" s="274"/>
      <c r="F10" s="273" t="s">
        <v>5</v>
      </c>
      <c r="G10" s="274"/>
      <c r="H10" s="274"/>
      <c r="I10" s="274"/>
      <c r="J10" s="275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43" t="s">
        <v>6</v>
      </c>
      <c r="B12" s="244"/>
      <c r="C12" s="244"/>
      <c r="D12" s="244"/>
      <c r="E12" s="51">
        <f>SUM(E14+E16+E19+E22+E28+E31+E35)</f>
        <v>112608774.27</v>
      </c>
      <c r="F12" s="261" t="s">
        <v>7</v>
      </c>
      <c r="G12" s="262"/>
      <c r="H12" s="262"/>
      <c r="I12" s="262"/>
      <c r="J12" s="43">
        <f>J16+J20</f>
        <v>10171638.810000001</v>
      </c>
    </row>
    <row r="13" spans="1:14" s="19" customFormat="1" ht="15.75" x14ac:dyDescent="0.25">
      <c r="A13" s="103"/>
      <c r="B13" s="101"/>
      <c r="C13" s="101"/>
      <c r="D13" s="101"/>
      <c r="E13" s="52"/>
      <c r="F13" s="104"/>
      <c r="G13" s="99"/>
      <c r="H13" s="99"/>
      <c r="I13" s="99"/>
      <c r="J13" s="44"/>
    </row>
    <row r="14" spans="1:14" s="19" customFormat="1" ht="15.75" x14ac:dyDescent="0.25">
      <c r="A14" s="250" t="s">
        <v>8</v>
      </c>
      <c r="B14" s="251"/>
      <c r="C14" s="251"/>
      <c r="D14" s="251"/>
      <c r="E14" s="52">
        <v>38262.11</v>
      </c>
      <c r="F14" s="104"/>
      <c r="G14" s="263"/>
      <c r="H14" s="263"/>
      <c r="I14" s="263"/>
      <c r="J14" s="44"/>
    </row>
    <row r="15" spans="1:14" s="19" customFormat="1" ht="15.75" x14ac:dyDescent="0.25">
      <c r="A15" s="58"/>
      <c r="B15" s="101"/>
      <c r="C15" s="101"/>
      <c r="D15" s="101"/>
      <c r="E15" s="52"/>
      <c r="F15" s="264"/>
      <c r="G15" s="265"/>
      <c r="H15" s="265"/>
      <c r="I15" s="265"/>
      <c r="J15" s="266"/>
    </row>
    <row r="16" spans="1:14" s="19" customFormat="1" ht="15.75" x14ac:dyDescent="0.25">
      <c r="A16" s="250" t="s">
        <v>9</v>
      </c>
      <c r="B16" s="251"/>
      <c r="C16" s="251"/>
      <c r="D16" s="251"/>
      <c r="E16" s="51">
        <f>SUM(E17)</f>
        <v>16105886.15</v>
      </c>
      <c r="F16" s="258" t="s">
        <v>10</v>
      </c>
      <c r="G16" s="259"/>
      <c r="H16" s="259"/>
      <c r="I16" s="259"/>
      <c r="J16" s="45">
        <f>SUM(J17+J18)</f>
        <v>1934770.12</v>
      </c>
    </row>
    <row r="17" spans="1:12" ht="15.75" x14ac:dyDescent="0.25">
      <c r="A17" s="58"/>
      <c r="B17" s="242" t="s">
        <v>11</v>
      </c>
      <c r="C17" s="242"/>
      <c r="D17" s="242"/>
      <c r="E17" s="52">
        <v>16105886.15</v>
      </c>
      <c r="F17" s="104"/>
      <c r="G17" s="98" t="s">
        <v>12</v>
      </c>
      <c r="H17" s="32" t="s">
        <v>63</v>
      </c>
      <c r="I17" s="32"/>
      <c r="J17" s="52">
        <v>1448545.24</v>
      </c>
    </row>
    <row r="18" spans="1:12" ht="15.75" x14ac:dyDescent="0.25">
      <c r="A18" s="58"/>
      <c r="B18" s="101"/>
      <c r="C18" s="101"/>
      <c r="D18" s="101"/>
      <c r="E18" s="52"/>
      <c r="F18" s="104"/>
      <c r="G18" s="98"/>
      <c r="H18" s="98" t="s">
        <v>12</v>
      </c>
      <c r="I18" s="32"/>
      <c r="J18" s="52">
        <v>486224.88</v>
      </c>
    </row>
    <row r="19" spans="1:12" ht="15.75" x14ac:dyDescent="0.25">
      <c r="A19" s="250" t="s">
        <v>13</v>
      </c>
      <c r="B19" s="251"/>
      <c r="C19" s="251"/>
      <c r="D19" s="251"/>
      <c r="E19" s="51">
        <f>SUM(E20)</f>
        <v>44118081.119999997</v>
      </c>
      <c r="F19" s="104"/>
      <c r="G19" s="99"/>
      <c r="H19" s="98"/>
      <c r="I19" s="99"/>
      <c r="J19" s="46"/>
    </row>
    <row r="20" spans="1:12" ht="15.75" x14ac:dyDescent="0.25">
      <c r="A20" s="58"/>
      <c r="B20" s="242" t="s">
        <v>14</v>
      </c>
      <c r="C20" s="242"/>
      <c r="D20" s="242"/>
      <c r="E20" s="52">
        <v>44118081.119999997</v>
      </c>
      <c r="F20" s="258" t="s">
        <v>15</v>
      </c>
      <c r="G20" s="259"/>
      <c r="H20" s="259"/>
      <c r="I20" s="259"/>
      <c r="J20" s="45">
        <f>SUM(J21:J23)</f>
        <v>8236868.6900000004</v>
      </c>
    </row>
    <row r="21" spans="1:12" ht="15.75" x14ac:dyDescent="0.25">
      <c r="A21" s="58"/>
      <c r="B21" s="244"/>
      <c r="C21" s="244"/>
      <c r="D21" s="244"/>
      <c r="E21" s="51"/>
      <c r="F21" s="47"/>
      <c r="G21" s="260" t="s">
        <v>16</v>
      </c>
      <c r="H21" s="260"/>
      <c r="I21" s="260"/>
      <c r="J21" s="46">
        <v>1922631.44</v>
      </c>
    </row>
    <row r="22" spans="1:12" ht="15.75" x14ac:dyDescent="0.25">
      <c r="A22" s="250" t="s">
        <v>17</v>
      </c>
      <c r="B22" s="251"/>
      <c r="C22" s="251"/>
      <c r="D22" s="251"/>
      <c r="E22" s="117">
        <f>E23+E24+E25+E26</f>
        <v>34111113.420000002</v>
      </c>
      <c r="F22" s="47"/>
      <c r="G22" s="98" t="s">
        <v>18</v>
      </c>
      <c r="H22" s="98" t="s">
        <v>18</v>
      </c>
      <c r="I22" s="98"/>
      <c r="J22" s="46">
        <v>653932.49</v>
      </c>
    </row>
    <row r="23" spans="1:12" ht="15.75" x14ac:dyDescent="0.25">
      <c r="A23" s="58"/>
      <c r="B23" s="242" t="s">
        <v>19</v>
      </c>
      <c r="C23" s="242"/>
      <c r="D23" s="242"/>
      <c r="E23" s="118">
        <f>3352273.67+16211373.53+1560537.58+1132857.26+661960.7+353122.5+741650.92+2450503.81</f>
        <v>26464279.970000003</v>
      </c>
      <c r="F23" s="47"/>
      <c r="G23" s="98" t="s">
        <v>20</v>
      </c>
      <c r="H23" s="98" t="s">
        <v>20</v>
      </c>
      <c r="I23" s="98"/>
      <c r="J23" s="46">
        <f>37618.98+5622685.78</f>
        <v>5660304.7600000007</v>
      </c>
    </row>
    <row r="24" spans="1:12" ht="15.75" x14ac:dyDescent="0.25">
      <c r="A24" s="58"/>
      <c r="B24" s="255" t="s">
        <v>21</v>
      </c>
      <c r="C24" s="255"/>
      <c r="D24" s="255"/>
      <c r="E24" s="118">
        <f>2121643.08+5277911.68+1072683.11+798837.22+120890.46+58706.89+116906.47+613315.56+40191.16+391503.5+1438176.3+156639.4</f>
        <v>12207404.830000004</v>
      </c>
      <c r="F24" s="47"/>
      <c r="G24" s="99"/>
      <c r="H24" s="98"/>
      <c r="I24" s="20"/>
      <c r="J24" s="46"/>
    </row>
    <row r="25" spans="1:12" ht="15.75" x14ac:dyDescent="0.25">
      <c r="A25" s="60"/>
      <c r="B25" s="255" t="s">
        <v>66</v>
      </c>
      <c r="C25" s="255"/>
      <c r="D25" s="255"/>
      <c r="E25" s="118">
        <f>92420.32+31320.52</f>
        <v>123740.84000000001</v>
      </c>
      <c r="F25" s="48"/>
      <c r="G25" s="96"/>
      <c r="H25" s="96"/>
      <c r="I25" s="96"/>
      <c r="J25" s="49"/>
      <c r="L25" s="116"/>
    </row>
    <row r="26" spans="1:12" ht="15.75" x14ac:dyDescent="0.25">
      <c r="A26" s="58"/>
      <c r="B26" s="255" t="s">
        <v>22</v>
      </c>
      <c r="C26" s="255"/>
      <c r="D26" s="255"/>
      <c r="E26" s="118">
        <f>-(18747910.6-5448527.35-8615071.03)</f>
        <v>-4684312.2200000025</v>
      </c>
      <c r="F26" s="48"/>
      <c r="G26" s="96"/>
      <c r="H26" s="96"/>
      <c r="I26" s="96"/>
      <c r="J26" s="49"/>
    </row>
    <row r="27" spans="1:12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2" ht="15.75" x14ac:dyDescent="0.25">
      <c r="A28" s="250" t="s">
        <v>23</v>
      </c>
      <c r="B28" s="251"/>
      <c r="C28" s="251"/>
      <c r="D28" s="251"/>
      <c r="E28" s="51">
        <f>E29</f>
        <v>17907124.91</v>
      </c>
      <c r="F28" s="50" t="s">
        <v>55</v>
      </c>
      <c r="G28" s="21"/>
      <c r="H28" s="21"/>
      <c r="I28" s="21"/>
      <c r="J28" s="49"/>
    </row>
    <row r="29" spans="1:12" ht="15.75" x14ac:dyDescent="0.25">
      <c r="A29" s="58"/>
      <c r="B29" s="255" t="s">
        <v>24</v>
      </c>
      <c r="C29" s="255"/>
      <c r="D29" s="255"/>
      <c r="E29" s="52">
        <v>17907124.91</v>
      </c>
      <c r="F29" s="256" t="s">
        <v>25</v>
      </c>
      <c r="G29" s="257"/>
      <c r="H29" s="257"/>
      <c r="I29" s="257"/>
      <c r="J29" s="51">
        <f>J33</f>
        <v>19649416.100000001</v>
      </c>
    </row>
    <row r="30" spans="1:12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2" ht="15.75" hidden="1" x14ac:dyDescent="0.25">
      <c r="A31" s="250"/>
      <c r="B31" s="251"/>
      <c r="C31" s="251"/>
      <c r="D31" s="251"/>
      <c r="E31" s="51"/>
      <c r="F31" s="48"/>
      <c r="G31" s="21"/>
      <c r="H31" s="21"/>
      <c r="I31" s="21"/>
      <c r="J31" s="52"/>
    </row>
    <row r="32" spans="1:12" ht="15.75" hidden="1" x14ac:dyDescent="0.25">
      <c r="A32" s="59"/>
      <c r="B32" s="242"/>
      <c r="C32" s="242"/>
      <c r="D32" s="10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2"/>
      <c r="C33" s="242"/>
      <c r="D33" s="100"/>
      <c r="E33" s="66"/>
      <c r="F33" s="256" t="s">
        <v>10</v>
      </c>
      <c r="G33" s="257"/>
      <c r="H33" s="257"/>
      <c r="I33" s="257"/>
      <c r="J33" s="51">
        <f>SUM(J34+J35)</f>
        <v>19649416.100000001</v>
      </c>
    </row>
    <row r="34" spans="1:15" ht="15.75" x14ac:dyDescent="0.25">
      <c r="A34" s="58"/>
      <c r="B34" s="20"/>
      <c r="C34" s="102"/>
      <c r="D34" s="102"/>
      <c r="E34" s="52"/>
      <c r="F34" s="48"/>
      <c r="G34" s="21" t="s">
        <v>57</v>
      </c>
      <c r="H34" s="21" t="s">
        <v>57</v>
      </c>
      <c r="I34" s="21"/>
      <c r="J34" s="52">
        <v>15064914.109999999</v>
      </c>
    </row>
    <row r="35" spans="1:15" ht="15.75" x14ac:dyDescent="0.25">
      <c r="A35" s="250" t="s">
        <v>26</v>
      </c>
      <c r="B35" s="251"/>
      <c r="C35" s="251"/>
      <c r="D35" s="251"/>
      <c r="E35" s="51">
        <f>E36</f>
        <v>328306.56</v>
      </c>
      <c r="F35" s="67"/>
      <c r="G35" s="68"/>
      <c r="H35" s="21" t="s">
        <v>12</v>
      </c>
      <c r="I35" s="21"/>
      <c r="J35" s="52">
        <v>4584501.99</v>
      </c>
    </row>
    <row r="36" spans="1:15" ht="15.75" x14ac:dyDescent="0.25">
      <c r="A36" s="58"/>
      <c r="B36" s="255" t="s">
        <v>27</v>
      </c>
      <c r="C36" s="255"/>
      <c r="D36" s="255"/>
      <c r="E36" s="52">
        <v>328306.56</v>
      </c>
      <c r="F36" s="48"/>
      <c r="G36" s="21"/>
      <c r="H36" s="21"/>
      <c r="I36" s="21"/>
      <c r="J36" s="49"/>
    </row>
    <row r="37" spans="1:15" ht="15.75" x14ac:dyDescent="0.25">
      <c r="A37" s="58"/>
      <c r="B37" s="102"/>
      <c r="C37" s="102"/>
      <c r="D37" s="10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02"/>
      <c r="C38" s="102"/>
      <c r="D38" s="10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52131491.410000011</v>
      </c>
      <c r="F39" s="245" t="s">
        <v>29</v>
      </c>
      <c r="G39" s="246"/>
      <c r="H39" s="246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54" t="s">
        <v>30</v>
      </c>
      <c r="H40" s="254"/>
      <c r="I40" s="254"/>
      <c r="J40" s="52">
        <v>133378731.77</v>
      </c>
    </row>
    <row r="41" spans="1:15" ht="15.75" x14ac:dyDescent="0.25">
      <c r="A41" s="250" t="s">
        <v>31</v>
      </c>
      <c r="B41" s="251"/>
      <c r="C41" s="251"/>
      <c r="D41" s="251"/>
      <c r="E41" s="117">
        <f>E42+E43+E44+E45</f>
        <v>47580330.45000001</v>
      </c>
      <c r="F41" s="48"/>
      <c r="G41" s="254" t="s">
        <v>32</v>
      </c>
      <c r="H41" s="254"/>
      <c r="I41" s="254"/>
      <c r="J41" s="52">
        <v>7312597.3899999997</v>
      </c>
    </row>
    <row r="42" spans="1:15" ht="15.75" x14ac:dyDescent="0.25">
      <c r="A42" s="60"/>
      <c r="B42" s="242" t="s">
        <v>19</v>
      </c>
      <c r="C42" s="242"/>
      <c r="D42" s="242"/>
      <c r="E42" s="118">
        <f>2127198.31+8827333.86+1174687.6+324681.79+130563.45+85288.23+232648.94+922816.66</f>
        <v>13825218.839999998</v>
      </c>
      <c r="F42" s="48"/>
      <c r="G42" s="254"/>
      <c r="H42" s="254"/>
      <c r="I42" s="254"/>
      <c r="J42" s="52"/>
    </row>
    <row r="43" spans="1:15" ht="15.75" x14ac:dyDescent="0.25">
      <c r="A43" s="60"/>
      <c r="B43" s="255" t="s">
        <v>21</v>
      </c>
      <c r="C43" s="255"/>
      <c r="D43" s="255"/>
      <c r="E43" s="118">
        <f>5537646.97+12166451.31+1406399.21+1741926.78+196913.09+50632.67+89150.89+627306.59+3098407.93+9746892.24+220866.44+40568.84</f>
        <v>34923162.960000008</v>
      </c>
      <c r="F43" s="48"/>
      <c r="G43" s="96"/>
      <c r="H43" s="96"/>
      <c r="I43" s="96"/>
      <c r="J43" s="49"/>
    </row>
    <row r="44" spans="1:15" ht="15.75" x14ac:dyDescent="0.25">
      <c r="A44" s="60"/>
      <c r="B44" s="255" t="s">
        <v>66</v>
      </c>
      <c r="C44" s="255"/>
      <c r="D44" s="255"/>
      <c r="E44" s="118">
        <f>404687.54+1090127.8</f>
        <v>1494815.34</v>
      </c>
      <c r="F44" s="48"/>
      <c r="G44" s="96"/>
      <c r="H44" s="96"/>
      <c r="I44" s="96"/>
      <c r="J44" s="49"/>
    </row>
    <row r="45" spans="1:15" ht="15.75" x14ac:dyDescent="0.25">
      <c r="A45" s="60"/>
      <c r="B45" s="255" t="s">
        <v>22</v>
      </c>
      <c r="C45" s="255"/>
      <c r="D45" s="255"/>
      <c r="E45" s="52">
        <f>-2662866.69</f>
        <v>-2662866.69</v>
      </c>
      <c r="F45" s="48"/>
      <c r="G45" s="21"/>
      <c r="H45" s="21"/>
      <c r="I45" s="21"/>
      <c r="J45" s="53"/>
    </row>
    <row r="46" spans="1:15" ht="15" customHeight="1" x14ac:dyDescent="0.25">
      <c r="A46" s="250"/>
      <c r="B46" s="251"/>
      <c r="C46" s="251"/>
      <c r="D46" s="251"/>
      <c r="E46" s="51"/>
      <c r="F46" s="50" t="s">
        <v>33</v>
      </c>
      <c r="G46" s="97"/>
      <c r="H46" s="97"/>
      <c r="I46" s="97"/>
      <c r="J46" s="51">
        <f>SUM(J49:J54)</f>
        <v>647901.05999999971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55"/>
      <c r="C47" s="255"/>
      <c r="D47" s="255"/>
      <c r="E47" s="52"/>
      <c r="F47" s="48"/>
      <c r="G47" s="254" t="s">
        <v>34</v>
      </c>
      <c r="H47" s="254"/>
      <c r="I47" s="254"/>
      <c r="J47" s="52">
        <v>11155142.77</v>
      </c>
      <c r="K47" s="48"/>
      <c r="L47" s="254"/>
      <c r="M47" s="254"/>
      <c r="N47" s="254"/>
      <c r="O47" s="83"/>
    </row>
    <row r="48" spans="1:15" ht="15.75" hidden="1" customHeight="1" x14ac:dyDescent="0.25">
      <c r="A48" s="60"/>
      <c r="B48" s="102"/>
      <c r="C48" s="102"/>
      <c r="D48" s="102"/>
      <c r="E48" s="52"/>
      <c r="F48" s="48"/>
      <c r="G48" s="254" t="s">
        <v>35</v>
      </c>
      <c r="H48" s="254"/>
      <c r="I48" s="254"/>
      <c r="J48" s="52">
        <v>-10361959.039999999</v>
      </c>
      <c r="K48" s="48"/>
      <c r="L48" s="96"/>
      <c r="M48" s="96"/>
      <c r="N48" s="96"/>
      <c r="O48" s="83"/>
    </row>
    <row r="49" spans="1:15" ht="15.75" x14ac:dyDescent="0.25">
      <c r="A49" s="60"/>
      <c r="B49" s="255"/>
      <c r="C49" s="255"/>
      <c r="D49" s="255"/>
      <c r="E49" s="52"/>
      <c r="F49" s="48"/>
      <c r="G49" s="254" t="s">
        <v>34</v>
      </c>
      <c r="H49" s="254"/>
      <c r="I49" s="254"/>
      <c r="J49" s="52">
        <v>7228847.7000000002</v>
      </c>
      <c r="K49" s="50"/>
      <c r="L49" s="97"/>
      <c r="M49" s="97"/>
      <c r="N49" s="97"/>
      <c r="O49" s="84"/>
    </row>
    <row r="50" spans="1:15" ht="15.75" x14ac:dyDescent="0.25">
      <c r="A50" s="250" t="s">
        <v>23</v>
      </c>
      <c r="B50" s="251"/>
      <c r="C50" s="251"/>
      <c r="D50" s="251"/>
      <c r="E50" s="51">
        <f>E51+E52</f>
        <v>4551160.96</v>
      </c>
      <c r="F50" s="48"/>
      <c r="G50" s="254" t="s">
        <v>73</v>
      </c>
      <c r="H50" s="254"/>
      <c r="I50" s="254"/>
      <c r="J50" s="52">
        <v>-6652050.1100000003</v>
      </c>
      <c r="K50" s="48"/>
      <c r="L50" s="254"/>
      <c r="M50" s="254"/>
      <c r="N50" s="254"/>
      <c r="O50" s="85"/>
    </row>
    <row r="51" spans="1:15" ht="15.75" x14ac:dyDescent="0.25">
      <c r="A51" s="60"/>
      <c r="B51" s="255" t="s">
        <v>58</v>
      </c>
      <c r="C51" s="255"/>
      <c r="D51" s="255"/>
      <c r="E51" s="52">
        <v>4551160.96</v>
      </c>
      <c r="F51" s="48"/>
      <c r="G51" s="254" t="s">
        <v>36</v>
      </c>
      <c r="H51" s="254"/>
      <c r="I51" s="254"/>
      <c r="J51" s="52">
        <v>0</v>
      </c>
      <c r="K51" s="48"/>
      <c r="L51" s="254"/>
      <c r="M51" s="254"/>
      <c r="N51" s="254"/>
      <c r="O51" s="85"/>
    </row>
    <row r="52" spans="1:15" ht="15.75" x14ac:dyDescent="0.25">
      <c r="A52" s="60"/>
      <c r="B52" s="255"/>
      <c r="C52" s="255"/>
      <c r="D52" s="255"/>
      <c r="E52" s="52"/>
      <c r="F52" s="48"/>
      <c r="G52" s="254" t="s">
        <v>74</v>
      </c>
      <c r="H52" s="254"/>
      <c r="I52" s="254"/>
      <c r="J52" s="52">
        <v>-1566.05</v>
      </c>
      <c r="K52" s="48"/>
      <c r="L52" s="254"/>
      <c r="M52" s="254"/>
      <c r="N52" s="254"/>
      <c r="O52" s="85"/>
    </row>
    <row r="53" spans="1:15" s="19" customFormat="1" ht="15.75" x14ac:dyDescent="0.25">
      <c r="A53" s="243" t="s">
        <v>37</v>
      </c>
      <c r="B53" s="244"/>
      <c r="C53" s="244"/>
      <c r="D53" s="244"/>
      <c r="E53" s="51">
        <f>SUM(E54+E58+E61+E64)</f>
        <v>6420019.4500000011</v>
      </c>
      <c r="F53" s="48"/>
      <c r="G53" s="254" t="s">
        <v>38</v>
      </c>
      <c r="H53" s="254"/>
      <c r="I53" s="254"/>
      <c r="J53" s="52">
        <v>47668.45</v>
      </c>
    </row>
    <row r="54" spans="1:15" ht="15.75" x14ac:dyDescent="0.25">
      <c r="A54" s="250" t="s">
        <v>67</v>
      </c>
      <c r="B54" s="251"/>
      <c r="C54" s="251"/>
      <c r="D54" s="251"/>
      <c r="E54" s="51">
        <f>E55+E56+E57</f>
        <v>3994414.9800000004</v>
      </c>
      <c r="F54" s="48"/>
      <c r="G54" s="254" t="s">
        <v>39</v>
      </c>
      <c r="H54" s="254"/>
      <c r="I54" s="254"/>
      <c r="J54" s="52">
        <v>25001.07</v>
      </c>
    </row>
    <row r="55" spans="1:15" ht="15.75" x14ac:dyDescent="0.25">
      <c r="A55" s="58"/>
      <c r="B55" s="242" t="s">
        <v>68</v>
      </c>
      <c r="C55" s="242"/>
      <c r="D55" s="242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2" t="s">
        <v>69</v>
      </c>
      <c r="C56" s="242"/>
      <c r="D56" s="242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2" t="s">
        <v>40</v>
      </c>
      <c r="C57" s="242"/>
      <c r="D57" s="242"/>
      <c r="E57" s="52">
        <v>-294848.76</v>
      </c>
      <c r="F57" s="48"/>
      <c r="G57" s="21"/>
      <c r="H57" s="21"/>
      <c r="I57" s="21"/>
      <c r="J57" s="49"/>
    </row>
    <row r="58" spans="1:15" ht="15.75" x14ac:dyDescent="0.25">
      <c r="A58" s="250" t="s">
        <v>70</v>
      </c>
      <c r="B58" s="251"/>
      <c r="C58" s="251"/>
      <c r="D58" s="251"/>
      <c r="E58" s="51">
        <f>E59+E60</f>
        <v>599668.81000000006</v>
      </c>
      <c r="F58" s="48"/>
      <c r="G58" s="254"/>
      <c r="H58" s="254"/>
      <c r="I58" s="254"/>
      <c r="J58" s="52"/>
    </row>
    <row r="59" spans="1:15" ht="15.75" x14ac:dyDescent="0.25">
      <c r="A59" s="58"/>
      <c r="B59" s="242" t="s">
        <v>71</v>
      </c>
      <c r="C59" s="242"/>
      <c r="D59" s="242"/>
      <c r="E59" s="52">
        <f>384659.22+61908.88+170264.1+4766.11+3051+62181.5+660540.56+39036.25+387021.3</f>
        <v>1773428.9200000002</v>
      </c>
      <c r="F59" s="48"/>
      <c r="G59" s="96"/>
      <c r="H59" s="96"/>
      <c r="I59" s="96"/>
      <c r="J59" s="49"/>
    </row>
    <row r="60" spans="1:15" ht="15.75" x14ac:dyDescent="0.25">
      <c r="A60" s="58"/>
      <c r="B60" s="242" t="s">
        <v>40</v>
      </c>
      <c r="C60" s="242"/>
      <c r="D60" s="242"/>
      <c r="E60" s="52">
        <f>-790223.05-383537.06</f>
        <v>-1173760.1100000001</v>
      </c>
      <c r="F60" s="48"/>
      <c r="G60" s="96"/>
      <c r="H60" s="96"/>
      <c r="I60" s="96"/>
      <c r="J60" s="49"/>
    </row>
    <row r="61" spans="1:15" ht="15.75" x14ac:dyDescent="0.25">
      <c r="A61" s="250" t="s">
        <v>75</v>
      </c>
      <c r="B61" s="251"/>
      <c r="C61" s="251"/>
      <c r="D61" s="251"/>
      <c r="E61" s="51">
        <f>E62+E63</f>
        <v>1758.6200000000099</v>
      </c>
      <c r="F61" s="48"/>
      <c r="G61" s="21"/>
      <c r="H61" s="35"/>
      <c r="I61" s="21"/>
      <c r="J61" s="53"/>
    </row>
    <row r="62" spans="1:15" ht="15.75" x14ac:dyDescent="0.25">
      <c r="A62" s="58"/>
      <c r="B62" s="242" t="s">
        <v>42</v>
      </c>
      <c r="C62" s="242"/>
      <c r="D62" s="242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2" t="s">
        <v>41</v>
      </c>
      <c r="C63" s="242"/>
      <c r="D63" s="242"/>
      <c r="E63" s="52">
        <v>-71569.179999999993</v>
      </c>
      <c r="F63" s="48"/>
      <c r="G63" s="96"/>
      <c r="H63" s="96"/>
      <c r="I63" s="96"/>
      <c r="J63" s="49"/>
    </row>
    <row r="64" spans="1:15" ht="15.75" x14ac:dyDescent="0.25">
      <c r="A64" s="252" t="s">
        <v>76</v>
      </c>
      <c r="B64" s="253"/>
      <c r="C64" s="253"/>
      <c r="D64" s="253"/>
      <c r="E64" s="51">
        <f>E65+E66</f>
        <v>1824177.04</v>
      </c>
      <c r="F64" s="48"/>
      <c r="G64" s="96"/>
      <c r="H64" s="254"/>
      <c r="I64" s="254"/>
      <c r="J64" s="49"/>
    </row>
    <row r="65" spans="1:12" ht="15.75" x14ac:dyDescent="0.25">
      <c r="A65" s="58"/>
      <c r="B65" s="242" t="s">
        <v>56</v>
      </c>
      <c r="C65" s="242"/>
      <c r="D65" s="242"/>
      <c r="E65" s="52">
        <f>2319674.58+10830</f>
        <v>2330504.58</v>
      </c>
      <c r="F65" s="48"/>
      <c r="G65" s="96"/>
      <c r="H65" s="96"/>
      <c r="I65" s="96"/>
      <c r="J65" s="49"/>
    </row>
    <row r="66" spans="1:12" ht="15.75" x14ac:dyDescent="0.25">
      <c r="A66" s="58"/>
      <c r="B66" s="242" t="s">
        <v>41</v>
      </c>
      <c r="C66" s="242"/>
      <c r="D66" s="242"/>
      <c r="E66" s="52">
        <v>-506327.54</v>
      </c>
      <c r="F66" s="48"/>
      <c r="G66" s="96"/>
      <c r="H66" s="96"/>
      <c r="I66" s="96"/>
      <c r="J66" s="49"/>
    </row>
    <row r="67" spans="1:12" s="19" customFormat="1" ht="24" customHeight="1" x14ac:dyDescent="0.25">
      <c r="A67" s="243" t="s">
        <v>43</v>
      </c>
      <c r="B67" s="244"/>
      <c r="C67" s="244"/>
      <c r="D67" s="244"/>
      <c r="E67" s="51">
        <f>E53+E39+E12</f>
        <v>171160285.13</v>
      </c>
      <c r="F67" s="245" t="s">
        <v>44</v>
      </c>
      <c r="G67" s="246"/>
      <c r="H67" s="246"/>
      <c r="I67" s="246"/>
      <c r="J67" s="51">
        <f>J39+J12+J29+J46</f>
        <v>171160285.13</v>
      </c>
      <c r="L67" s="70">
        <f>E67-J67</f>
        <v>0</v>
      </c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7" t="s">
        <v>45</v>
      </c>
      <c r="B71" s="248"/>
      <c r="C71" s="248"/>
      <c r="D71" s="248"/>
      <c r="E71" s="248"/>
      <c r="F71" s="248" t="s">
        <v>46</v>
      </c>
      <c r="G71" s="248"/>
      <c r="H71" s="248"/>
      <c r="I71" s="248"/>
      <c r="J71" s="249"/>
    </row>
    <row r="72" spans="1:12" ht="15.75" x14ac:dyDescent="0.25">
      <c r="A72" s="231" t="s">
        <v>61</v>
      </c>
      <c r="B72" s="232"/>
      <c r="C72" s="232"/>
      <c r="D72" s="232"/>
      <c r="E72" s="232"/>
      <c r="F72" s="241"/>
      <c r="G72" s="241"/>
      <c r="H72" s="241"/>
      <c r="I72" s="241"/>
      <c r="J72" s="25"/>
    </row>
    <row r="73" spans="1:12" ht="15.75" x14ac:dyDescent="0.25">
      <c r="A73" s="231" t="s">
        <v>59</v>
      </c>
      <c r="B73" s="232"/>
      <c r="C73" s="232"/>
      <c r="D73" s="232"/>
      <c r="E73" s="232"/>
      <c r="F73" s="232" t="s">
        <v>47</v>
      </c>
      <c r="G73" s="232"/>
      <c r="H73" s="232"/>
      <c r="I73" s="232"/>
      <c r="J73" s="233"/>
    </row>
    <row r="74" spans="1:12" s="7" customFormat="1" ht="15.75" x14ac:dyDescent="0.25">
      <c r="A74" s="231" t="s">
        <v>62</v>
      </c>
      <c r="B74" s="232"/>
      <c r="C74" s="232"/>
      <c r="D74" s="232"/>
      <c r="E74" s="232"/>
      <c r="F74" s="232" t="s">
        <v>48</v>
      </c>
      <c r="G74" s="232"/>
      <c r="H74" s="232"/>
      <c r="I74" s="232"/>
      <c r="J74" s="233"/>
      <c r="K74" s="26"/>
    </row>
    <row r="75" spans="1:12" ht="15.75" x14ac:dyDescent="0.25">
      <c r="A75" s="231" t="s">
        <v>49</v>
      </c>
      <c r="B75" s="232"/>
      <c r="C75" s="232"/>
      <c r="D75" s="232"/>
      <c r="E75" s="232"/>
      <c r="F75" s="232" t="s">
        <v>50</v>
      </c>
      <c r="G75" s="232"/>
      <c r="H75" s="232"/>
      <c r="I75" s="232"/>
      <c r="J75" s="233"/>
    </row>
    <row r="76" spans="1:12" s="7" customFormat="1" ht="15.75" x14ac:dyDescent="0.25">
      <c r="A76" s="231" t="s">
        <v>64</v>
      </c>
      <c r="B76" s="232"/>
      <c r="C76" s="232"/>
      <c r="D76" s="232"/>
      <c r="E76" s="232"/>
      <c r="F76" s="237"/>
      <c r="G76" s="237"/>
      <c r="H76" s="237"/>
      <c r="I76" s="237"/>
      <c r="J76" s="238"/>
    </row>
    <row r="77" spans="1:12" ht="15.75" x14ac:dyDescent="0.25">
      <c r="A77" s="231" t="s">
        <v>65</v>
      </c>
      <c r="B77" s="232"/>
      <c r="C77" s="232"/>
      <c r="D77" s="232"/>
      <c r="E77" s="232"/>
      <c r="F77" s="239" t="s">
        <v>51</v>
      </c>
      <c r="G77" s="239"/>
      <c r="H77" s="239"/>
      <c r="I77" s="239"/>
      <c r="J77" s="240"/>
    </row>
    <row r="78" spans="1:12" ht="15.75" x14ac:dyDescent="0.25">
      <c r="A78" s="231" t="s">
        <v>60</v>
      </c>
      <c r="B78" s="232"/>
      <c r="C78" s="232"/>
      <c r="D78" s="232"/>
      <c r="E78" s="232"/>
      <c r="F78" s="232" t="s">
        <v>52</v>
      </c>
      <c r="G78" s="232"/>
      <c r="H78" s="232"/>
      <c r="I78" s="232"/>
      <c r="J78" s="233"/>
    </row>
    <row r="79" spans="1:12" ht="16.5" thickBot="1" x14ac:dyDescent="0.3">
      <c r="A79" s="234" t="s">
        <v>53</v>
      </c>
      <c r="B79" s="235"/>
      <c r="C79" s="235"/>
      <c r="D79" s="235"/>
      <c r="E79" s="235"/>
      <c r="F79" s="235" t="s">
        <v>54</v>
      </c>
      <c r="G79" s="235"/>
      <c r="H79" s="235"/>
      <c r="I79" s="235"/>
      <c r="J79" s="236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O86"/>
  <sheetViews>
    <sheetView topLeftCell="C36" workbookViewId="0">
      <selection activeCell="E59" sqref="E59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67"/>
      <c r="C4" s="267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67"/>
      <c r="C5" s="267"/>
      <c r="D5" s="11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68"/>
      <c r="B6" s="269"/>
      <c r="C6" s="269"/>
      <c r="D6" s="269"/>
      <c r="E6" s="269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70" t="s">
        <v>79</v>
      </c>
      <c r="B8" s="271"/>
      <c r="C8" s="271"/>
      <c r="D8" s="271"/>
      <c r="E8" s="271"/>
      <c r="F8" s="271"/>
      <c r="G8" s="271"/>
      <c r="H8" s="271"/>
      <c r="I8" s="271"/>
      <c r="J8" s="272"/>
    </row>
    <row r="9" spans="1:14" ht="15" customHeight="1" thickBot="1" x14ac:dyDescent="0.25">
      <c r="A9" s="270"/>
      <c r="B9" s="271"/>
      <c r="C9" s="271"/>
      <c r="D9" s="271"/>
      <c r="E9" s="271"/>
      <c r="F9" s="271"/>
      <c r="G9" s="271"/>
      <c r="H9" s="271"/>
      <c r="I9" s="271"/>
      <c r="J9" s="272"/>
    </row>
    <row r="10" spans="1:14" s="17" customFormat="1" ht="25.5" customHeight="1" thickBot="1" x14ac:dyDescent="0.35">
      <c r="A10" s="273" t="s">
        <v>4</v>
      </c>
      <c r="B10" s="274"/>
      <c r="C10" s="274"/>
      <c r="D10" s="274"/>
      <c r="E10" s="274"/>
      <c r="F10" s="273" t="s">
        <v>5</v>
      </c>
      <c r="G10" s="274"/>
      <c r="H10" s="274"/>
      <c r="I10" s="274"/>
      <c r="J10" s="275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43" t="s">
        <v>6</v>
      </c>
      <c r="B12" s="244"/>
      <c r="C12" s="244"/>
      <c r="D12" s="244"/>
      <c r="E12" s="51">
        <f>SUM(E14+E16+E19+E22+E28+E31+E35)</f>
        <v>111551368.16999999</v>
      </c>
      <c r="F12" s="261" t="s">
        <v>7</v>
      </c>
      <c r="G12" s="262"/>
      <c r="H12" s="262"/>
      <c r="I12" s="262"/>
      <c r="J12" s="43">
        <f>J16+J20</f>
        <v>9879008.3399999999</v>
      </c>
    </row>
    <row r="13" spans="1:14" s="19" customFormat="1" ht="15.75" x14ac:dyDescent="0.25">
      <c r="A13" s="113"/>
      <c r="B13" s="111"/>
      <c r="C13" s="111"/>
      <c r="D13" s="111"/>
      <c r="E13" s="52"/>
      <c r="F13" s="114"/>
      <c r="G13" s="109"/>
      <c r="H13" s="109"/>
      <c r="I13" s="109"/>
      <c r="J13" s="44"/>
    </row>
    <row r="14" spans="1:14" s="19" customFormat="1" ht="15.75" x14ac:dyDescent="0.25">
      <c r="A14" s="250" t="s">
        <v>8</v>
      </c>
      <c r="B14" s="251"/>
      <c r="C14" s="251"/>
      <c r="D14" s="251"/>
      <c r="E14" s="52">
        <v>55469.07</v>
      </c>
      <c r="F14" s="114"/>
      <c r="G14" s="263"/>
      <c r="H14" s="263"/>
      <c r="I14" s="263"/>
      <c r="J14" s="44"/>
    </row>
    <row r="15" spans="1:14" s="19" customFormat="1" ht="15.75" x14ac:dyDescent="0.25">
      <c r="A15" s="58"/>
      <c r="B15" s="111"/>
      <c r="C15" s="111"/>
      <c r="D15" s="111"/>
      <c r="E15" s="52"/>
      <c r="F15" s="264"/>
      <c r="G15" s="265"/>
      <c r="H15" s="265"/>
      <c r="I15" s="265"/>
      <c r="J15" s="266"/>
    </row>
    <row r="16" spans="1:14" s="19" customFormat="1" ht="15.75" x14ac:dyDescent="0.25">
      <c r="A16" s="250" t="s">
        <v>9</v>
      </c>
      <c r="B16" s="251"/>
      <c r="C16" s="251"/>
      <c r="D16" s="251"/>
      <c r="E16" s="51">
        <f>SUM(E17)</f>
        <v>30927021.27</v>
      </c>
      <c r="F16" s="258" t="s">
        <v>10</v>
      </c>
      <c r="G16" s="259"/>
      <c r="H16" s="259"/>
      <c r="I16" s="259"/>
      <c r="J16" s="45">
        <f>SUM(J17+J18)</f>
        <v>1755843.24</v>
      </c>
    </row>
    <row r="17" spans="1:10" ht="15.75" x14ac:dyDescent="0.25">
      <c r="A17" s="58"/>
      <c r="B17" s="242" t="s">
        <v>11</v>
      </c>
      <c r="C17" s="242"/>
      <c r="D17" s="242"/>
      <c r="E17" s="52">
        <v>30927021.27</v>
      </c>
      <c r="F17" s="114"/>
      <c r="G17" s="108" t="s">
        <v>12</v>
      </c>
      <c r="H17" s="32" t="s">
        <v>63</v>
      </c>
      <c r="I17" s="32"/>
      <c r="J17" s="46">
        <v>1318775.28</v>
      </c>
    </row>
    <row r="18" spans="1:10" ht="15.75" x14ac:dyDescent="0.25">
      <c r="A18" s="58"/>
      <c r="B18" s="111"/>
      <c r="C18" s="111"/>
      <c r="D18" s="111"/>
      <c r="E18" s="52"/>
      <c r="F18" s="114"/>
      <c r="G18" s="108"/>
      <c r="H18" s="108" t="s">
        <v>12</v>
      </c>
      <c r="I18" s="32"/>
      <c r="J18" s="129">
        <v>437067.96</v>
      </c>
    </row>
    <row r="19" spans="1:10" ht="15.75" x14ac:dyDescent="0.25">
      <c r="A19" s="250" t="s">
        <v>13</v>
      </c>
      <c r="B19" s="251"/>
      <c r="C19" s="251"/>
      <c r="D19" s="251"/>
      <c r="E19" s="51">
        <f>SUM(E20)</f>
        <v>30332272.449999999</v>
      </c>
      <c r="F19" s="114"/>
      <c r="G19" s="109"/>
      <c r="H19" s="108"/>
      <c r="I19" s="109"/>
      <c r="J19" s="46"/>
    </row>
    <row r="20" spans="1:10" ht="15.75" x14ac:dyDescent="0.25">
      <c r="A20" s="58"/>
      <c r="B20" s="242" t="s">
        <v>14</v>
      </c>
      <c r="C20" s="242"/>
      <c r="D20" s="242"/>
      <c r="E20" s="52">
        <v>30332272.449999999</v>
      </c>
      <c r="F20" s="258" t="s">
        <v>15</v>
      </c>
      <c r="G20" s="259"/>
      <c r="H20" s="259"/>
      <c r="I20" s="259"/>
      <c r="J20" s="45">
        <f>SUM(J21:J23)</f>
        <v>8123165.0999999996</v>
      </c>
    </row>
    <row r="21" spans="1:10" ht="15.75" x14ac:dyDescent="0.25">
      <c r="A21" s="58"/>
      <c r="B21" s="244"/>
      <c r="C21" s="244"/>
      <c r="D21" s="244"/>
      <c r="E21" s="51"/>
      <c r="F21" s="47"/>
      <c r="G21" s="260" t="s">
        <v>16</v>
      </c>
      <c r="H21" s="260"/>
      <c r="I21" s="260"/>
      <c r="J21" s="46">
        <v>1922631.44</v>
      </c>
    </row>
    <row r="22" spans="1:10" ht="15.75" x14ac:dyDescent="0.25">
      <c r="A22" s="250" t="s">
        <v>17</v>
      </c>
      <c r="B22" s="251"/>
      <c r="C22" s="251"/>
      <c r="D22" s="251"/>
      <c r="E22" s="51">
        <f>E23+E24+E25+E26</f>
        <v>35200265.639999986</v>
      </c>
      <c r="F22" s="47"/>
      <c r="G22" s="108" t="s">
        <v>18</v>
      </c>
      <c r="H22" s="108" t="s">
        <v>18</v>
      </c>
      <c r="I22" s="108"/>
      <c r="J22" s="46">
        <v>688295.21</v>
      </c>
    </row>
    <row r="23" spans="1:10" ht="15.75" x14ac:dyDescent="0.25">
      <c r="A23" s="58"/>
      <c r="B23" s="242" t="s">
        <v>19</v>
      </c>
      <c r="C23" s="242"/>
      <c r="D23" s="242"/>
      <c r="E23" s="52">
        <f>3449560.69+16512643.35+1842776.47+561467.07+964784.7+396541.81+249175.88+2977738.05</f>
        <v>26954688.019999996</v>
      </c>
      <c r="F23" s="47"/>
      <c r="G23" s="108" t="s">
        <v>20</v>
      </c>
      <c r="H23" s="108" t="s">
        <v>20</v>
      </c>
      <c r="I23" s="108"/>
      <c r="J23" s="46">
        <f>20041.65+5492196.8</f>
        <v>5512238.4500000002</v>
      </c>
    </row>
    <row r="24" spans="1:10" ht="15.75" x14ac:dyDescent="0.25">
      <c r="A24" s="58"/>
      <c r="B24" s="255" t="s">
        <v>21</v>
      </c>
      <c r="C24" s="255"/>
      <c r="D24" s="255"/>
      <c r="E24" s="52">
        <f>2501900.33+5559624.79+931850.79+794489.63+424308.69+148623.84+48781.75+667069.53+336992.49+1547541.25+20252.24+153150.94</f>
        <v>13134586.27</v>
      </c>
      <c r="F24" s="47"/>
      <c r="G24" s="109"/>
      <c r="H24" s="108"/>
      <c r="I24" s="20"/>
      <c r="J24" s="46"/>
    </row>
    <row r="25" spans="1:10" ht="15.75" x14ac:dyDescent="0.25">
      <c r="A25" s="60"/>
      <c r="B25" s="255" t="s">
        <v>66</v>
      </c>
      <c r="C25" s="255"/>
      <c r="D25" s="255"/>
      <c r="E25" s="52">
        <f>58440.23+130055.32</f>
        <v>188495.55000000002</v>
      </c>
      <c r="F25" s="48"/>
      <c r="G25" s="106"/>
      <c r="H25" s="106"/>
      <c r="I25" s="106"/>
      <c r="J25" s="49"/>
    </row>
    <row r="26" spans="1:10" ht="15.75" x14ac:dyDescent="0.25">
      <c r="A26" s="58"/>
      <c r="B26" s="255" t="s">
        <v>22</v>
      </c>
      <c r="C26" s="255"/>
      <c r="D26" s="255"/>
      <c r="E26" s="52">
        <f>-17247.73-165126.41-55283.25-56146.68-289435.17-198270.84-174423.05-2977736.21-12509.43-55596.18-27955.49-79448.83-127292.33-74311.78-34147.19-667069.08-1684.96-15475.33-607.56-45945.22-292.2-1300.55-198.73</f>
        <v>-5077504.2000000011</v>
      </c>
      <c r="F26" s="48"/>
      <c r="G26" s="106"/>
      <c r="H26" s="106"/>
      <c r="I26" s="106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50" t="s">
        <v>23</v>
      </c>
      <c r="B28" s="251"/>
      <c r="C28" s="251"/>
      <c r="D28" s="251"/>
      <c r="E28" s="51">
        <f>E29</f>
        <v>14704758.400000002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55" t="s">
        <v>24</v>
      </c>
      <c r="C29" s="255"/>
      <c r="D29" s="255"/>
      <c r="E29" s="52">
        <f>19800558.96-5095800.56</f>
        <v>14704758.400000002</v>
      </c>
      <c r="F29" s="256" t="s">
        <v>25</v>
      </c>
      <c r="G29" s="257"/>
      <c r="H29" s="257"/>
      <c r="I29" s="257"/>
      <c r="J29" s="51">
        <f>J33</f>
        <v>20748966.98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50"/>
      <c r="B31" s="251"/>
      <c r="C31" s="251"/>
      <c r="D31" s="251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2"/>
      <c r="C32" s="242"/>
      <c r="D32" s="11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2"/>
      <c r="C33" s="242"/>
      <c r="D33" s="110"/>
      <c r="E33" s="66"/>
      <c r="F33" s="256" t="s">
        <v>10</v>
      </c>
      <c r="G33" s="257"/>
      <c r="H33" s="257"/>
      <c r="I33" s="257"/>
      <c r="J33" s="51">
        <f>SUM(J34+J35)</f>
        <v>20748966.98</v>
      </c>
    </row>
    <row r="34" spans="1:15" ht="15.75" x14ac:dyDescent="0.25">
      <c r="A34" s="58"/>
      <c r="B34" s="20"/>
      <c r="C34" s="112"/>
      <c r="D34" s="112"/>
      <c r="E34" s="52"/>
      <c r="F34" s="48"/>
      <c r="G34" s="21" t="s">
        <v>57</v>
      </c>
      <c r="H34" s="21" t="s">
        <v>57</v>
      </c>
      <c r="I34" s="21"/>
      <c r="J34" s="52">
        <v>16063930.4</v>
      </c>
    </row>
    <row r="35" spans="1:15" ht="15.75" x14ac:dyDescent="0.25">
      <c r="A35" s="250" t="s">
        <v>26</v>
      </c>
      <c r="B35" s="251"/>
      <c r="C35" s="251"/>
      <c r="D35" s="251"/>
      <c r="E35" s="51">
        <f>E36</f>
        <v>331581.34000000003</v>
      </c>
      <c r="F35" s="67"/>
      <c r="G35" s="68"/>
      <c r="H35" s="21" t="s">
        <v>12</v>
      </c>
      <c r="I35" s="21"/>
      <c r="J35" s="118">
        <v>4685036.58</v>
      </c>
    </row>
    <row r="36" spans="1:15" ht="15.75" x14ac:dyDescent="0.25">
      <c r="A36" s="58"/>
      <c r="B36" s="255" t="s">
        <v>27</v>
      </c>
      <c r="C36" s="255"/>
      <c r="D36" s="255"/>
      <c r="E36" s="52">
        <v>331581.34000000003</v>
      </c>
      <c r="F36" s="48"/>
      <c r="G36" s="21"/>
      <c r="H36" s="21"/>
      <c r="I36" s="21"/>
      <c r="J36" s="49"/>
    </row>
    <row r="37" spans="1:15" ht="15.75" x14ac:dyDescent="0.25">
      <c r="A37" s="58"/>
      <c r="B37" s="112"/>
      <c r="C37" s="112"/>
      <c r="D37" s="11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12"/>
      <c r="C38" s="112"/>
      <c r="D38" s="11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54117146.049999997</v>
      </c>
      <c r="F39" s="245" t="s">
        <v>29</v>
      </c>
      <c r="G39" s="246"/>
      <c r="H39" s="246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54" t="s">
        <v>30</v>
      </c>
      <c r="H40" s="254"/>
      <c r="I40" s="254"/>
      <c r="J40" s="52">
        <v>133378731.77</v>
      </c>
    </row>
    <row r="41" spans="1:15" ht="15.75" x14ac:dyDescent="0.25">
      <c r="A41" s="250" t="s">
        <v>31</v>
      </c>
      <c r="B41" s="251"/>
      <c r="C41" s="251"/>
      <c r="D41" s="251"/>
      <c r="E41" s="51">
        <f>E42+E43+E44+E45</f>
        <v>49021345.489999995</v>
      </c>
      <c r="F41" s="48"/>
      <c r="G41" s="254" t="s">
        <v>32</v>
      </c>
      <c r="H41" s="254"/>
      <c r="I41" s="254"/>
      <c r="J41" s="52">
        <v>7312597.3899999997</v>
      </c>
    </row>
    <row r="42" spans="1:15" ht="15.75" x14ac:dyDescent="0.25">
      <c r="A42" s="60"/>
      <c r="B42" s="242" t="s">
        <v>19</v>
      </c>
      <c r="C42" s="242"/>
      <c r="D42" s="242"/>
      <c r="E42" s="52">
        <f>2113650.76+8935989.66+1100992.71+282886.66+227652.94+95405+57796.55+1097774.18</f>
        <v>13912148.459999999</v>
      </c>
      <c r="F42" s="48"/>
      <c r="G42" s="254"/>
      <c r="H42" s="254"/>
      <c r="I42" s="254"/>
      <c r="J42" s="52"/>
    </row>
    <row r="43" spans="1:15" ht="15.75" x14ac:dyDescent="0.25">
      <c r="A43" s="60"/>
      <c r="B43" s="255" t="s">
        <v>21</v>
      </c>
      <c r="C43" s="255"/>
      <c r="D43" s="255"/>
      <c r="E43" s="52">
        <f>6431346.75+11623255.26+1658163.77+1391143.11+765141.87+217180.24+41458.95+711698.12+1719414.06+11585294.51+91184.55+212623.2</f>
        <v>36447904.389999993</v>
      </c>
      <c r="F43" s="48"/>
      <c r="G43" s="106"/>
      <c r="H43" s="106"/>
      <c r="I43" s="106"/>
      <c r="J43" s="49"/>
    </row>
    <row r="44" spans="1:15" ht="15.75" x14ac:dyDescent="0.25">
      <c r="A44" s="60"/>
      <c r="B44" s="255" t="s">
        <v>66</v>
      </c>
      <c r="C44" s="255"/>
      <c r="D44" s="255"/>
      <c r="E44" s="52">
        <f>1086303.95+609258.05</f>
        <v>1695562</v>
      </c>
      <c r="F44" s="48"/>
      <c r="G44" s="106"/>
      <c r="H44" s="106"/>
      <c r="I44" s="106"/>
      <c r="J44" s="49"/>
    </row>
    <row r="45" spans="1:15" ht="15.75" x14ac:dyDescent="0.25">
      <c r="A45" s="60"/>
      <c r="B45" s="255" t="s">
        <v>22</v>
      </c>
      <c r="C45" s="255"/>
      <c r="D45" s="255"/>
      <c r="E45" s="52">
        <f>-10568.32-89359.93-33029.81-28288.68-68296.14-47702.63-40457.64-1097776.02-32156.83-116232.65-49744.95-139114.46-229542.84-108590.27-29021.29-711698.57-8597.08-115853.04-2735.54-63787.02-5431.53-6092.59-191.53</f>
        <v>-3034269.3599999994</v>
      </c>
      <c r="F45" s="48"/>
      <c r="G45" s="21"/>
      <c r="H45" s="21"/>
      <c r="I45" s="21"/>
      <c r="J45" s="53"/>
    </row>
    <row r="46" spans="1:15" ht="15" customHeight="1" x14ac:dyDescent="0.25">
      <c r="A46" s="250"/>
      <c r="B46" s="251"/>
      <c r="C46" s="251"/>
      <c r="D46" s="251"/>
      <c r="E46" s="51"/>
      <c r="F46" s="50" t="s">
        <v>33</v>
      </c>
      <c r="G46" s="107"/>
      <c r="H46" s="107"/>
      <c r="I46" s="107"/>
      <c r="J46" s="51">
        <f>SUM(J49:J54)</f>
        <v>713640.94999999844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55"/>
      <c r="C47" s="255"/>
      <c r="D47" s="255"/>
      <c r="E47" s="52"/>
      <c r="F47" s="48"/>
      <c r="G47" s="254" t="s">
        <v>34</v>
      </c>
      <c r="H47" s="254"/>
      <c r="I47" s="254"/>
      <c r="J47" s="52">
        <v>11155142.77</v>
      </c>
      <c r="K47" s="48"/>
      <c r="L47" s="254"/>
      <c r="M47" s="254"/>
      <c r="N47" s="254"/>
      <c r="O47" s="83"/>
    </row>
    <row r="48" spans="1:15" ht="15.75" hidden="1" customHeight="1" x14ac:dyDescent="0.25">
      <c r="A48" s="60"/>
      <c r="B48" s="112"/>
      <c r="C48" s="112"/>
      <c r="D48" s="112"/>
      <c r="E48" s="52"/>
      <c r="F48" s="48"/>
      <c r="G48" s="254" t="s">
        <v>35</v>
      </c>
      <c r="H48" s="254"/>
      <c r="I48" s="254"/>
      <c r="J48" s="52">
        <v>-10361959.039999999</v>
      </c>
      <c r="K48" s="48"/>
      <c r="L48" s="106"/>
      <c r="M48" s="106"/>
      <c r="N48" s="106"/>
      <c r="O48" s="83"/>
    </row>
    <row r="49" spans="1:15" ht="15.75" x14ac:dyDescent="0.25">
      <c r="A49" s="60"/>
      <c r="B49" s="255"/>
      <c r="C49" s="255"/>
      <c r="D49" s="255"/>
      <c r="E49" s="52"/>
      <c r="F49" s="48"/>
      <c r="G49" s="254" t="s">
        <v>34</v>
      </c>
      <c r="H49" s="254"/>
      <c r="I49" s="254"/>
      <c r="J49" s="52">
        <v>9491659.0399999991</v>
      </c>
      <c r="K49" s="50"/>
      <c r="L49" s="107"/>
      <c r="M49" s="107"/>
      <c r="N49" s="107"/>
      <c r="O49" s="84"/>
    </row>
    <row r="50" spans="1:15" ht="15.75" x14ac:dyDescent="0.25">
      <c r="A50" s="250" t="s">
        <v>23</v>
      </c>
      <c r="B50" s="251"/>
      <c r="C50" s="251"/>
      <c r="D50" s="251"/>
      <c r="E50" s="51">
        <f>E51+E52</f>
        <v>5095800.5599999996</v>
      </c>
      <c r="F50" s="48"/>
      <c r="G50" s="254" t="s">
        <v>73</v>
      </c>
      <c r="H50" s="254"/>
      <c r="I50" s="254"/>
      <c r="J50" s="52">
        <v>-9147805.9700000007</v>
      </c>
      <c r="K50" s="48"/>
      <c r="L50" s="254"/>
      <c r="M50" s="254"/>
      <c r="N50" s="254"/>
      <c r="O50" s="85"/>
    </row>
    <row r="51" spans="1:15" ht="15.75" x14ac:dyDescent="0.25">
      <c r="A51" s="60"/>
      <c r="B51" s="255" t="s">
        <v>58</v>
      </c>
      <c r="C51" s="255"/>
      <c r="D51" s="255"/>
      <c r="E51" s="52">
        <v>5095800.5599999996</v>
      </c>
      <c r="F51" s="48"/>
      <c r="G51" s="254" t="s">
        <v>36</v>
      </c>
      <c r="H51" s="254"/>
      <c r="I51" s="254"/>
      <c r="J51" s="52">
        <v>0</v>
      </c>
      <c r="K51" s="48"/>
      <c r="L51" s="254"/>
      <c r="M51" s="254"/>
      <c r="N51" s="254"/>
      <c r="O51" s="85"/>
    </row>
    <row r="52" spans="1:15" ht="15.75" x14ac:dyDescent="0.25">
      <c r="A52" s="60"/>
      <c r="B52" s="255"/>
      <c r="C52" s="255"/>
      <c r="D52" s="255"/>
      <c r="E52" s="52"/>
      <c r="F52" s="48"/>
      <c r="G52" s="254" t="s">
        <v>74</v>
      </c>
      <c r="H52" s="254"/>
      <c r="I52" s="254"/>
      <c r="J52" s="52">
        <v>-2100.13</v>
      </c>
      <c r="K52" s="48"/>
      <c r="L52" s="254"/>
      <c r="M52" s="254"/>
      <c r="N52" s="254"/>
      <c r="O52" s="85"/>
    </row>
    <row r="53" spans="1:15" s="19" customFormat="1" ht="15.75" x14ac:dyDescent="0.25">
      <c r="A53" s="243" t="s">
        <v>37</v>
      </c>
      <c r="B53" s="244"/>
      <c r="C53" s="244"/>
      <c r="D53" s="244"/>
      <c r="E53" s="51">
        <f>SUM(E54+E58+E61+E64)</f>
        <v>6364431.2100000009</v>
      </c>
      <c r="F53" s="48"/>
      <c r="G53" s="254" t="s">
        <v>38</v>
      </c>
      <c r="H53" s="254"/>
      <c r="I53" s="254"/>
      <c r="J53" s="52">
        <v>258261.25</v>
      </c>
    </row>
    <row r="54" spans="1:15" ht="15.75" x14ac:dyDescent="0.25">
      <c r="A54" s="250" t="s">
        <v>67</v>
      </c>
      <c r="B54" s="251"/>
      <c r="C54" s="251"/>
      <c r="D54" s="251"/>
      <c r="E54" s="51">
        <f>E55+E56+E57</f>
        <v>3988353.12</v>
      </c>
      <c r="F54" s="48"/>
      <c r="G54" s="254" t="s">
        <v>39</v>
      </c>
      <c r="H54" s="254"/>
      <c r="I54" s="254"/>
      <c r="J54" s="52">
        <v>113626.76</v>
      </c>
    </row>
    <row r="55" spans="1:15" ht="15.75" x14ac:dyDescent="0.25">
      <c r="A55" s="58"/>
      <c r="B55" s="242" t="s">
        <v>68</v>
      </c>
      <c r="C55" s="242"/>
      <c r="D55" s="242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2" t="s">
        <v>69</v>
      </c>
      <c r="C56" s="242"/>
      <c r="D56" s="242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2" t="s">
        <v>40</v>
      </c>
      <c r="C57" s="242"/>
      <c r="D57" s="242"/>
      <c r="E57" s="52">
        <v>-300910.62</v>
      </c>
      <c r="F57" s="48"/>
      <c r="G57" s="21"/>
      <c r="H57" s="21"/>
      <c r="I57" s="21"/>
      <c r="J57" s="49"/>
    </row>
    <row r="58" spans="1:15" ht="15.75" x14ac:dyDescent="0.25">
      <c r="A58" s="250" t="s">
        <v>70</v>
      </c>
      <c r="B58" s="251"/>
      <c r="C58" s="251"/>
      <c r="D58" s="251"/>
      <c r="E58" s="51">
        <f>E59+E60</f>
        <v>585468.53000000026</v>
      </c>
      <c r="F58" s="48"/>
      <c r="G58" s="254"/>
      <c r="H58" s="254"/>
      <c r="I58" s="254"/>
      <c r="J58" s="52"/>
    </row>
    <row r="59" spans="1:15" ht="15.75" x14ac:dyDescent="0.25">
      <c r="A59" s="58"/>
      <c r="B59" s="242" t="s">
        <v>71</v>
      </c>
      <c r="C59" s="242"/>
      <c r="D59" s="242"/>
      <c r="E59" s="52">
        <f>384659.22+61908.88+170264.1+4766.11+3051+62181.5+660540.56+39036.25+387021.3</f>
        <v>1773428.9200000002</v>
      </c>
      <c r="F59" s="48"/>
      <c r="G59" s="106"/>
      <c r="H59" s="106"/>
      <c r="I59" s="106"/>
      <c r="J59" s="49"/>
    </row>
    <row r="60" spans="1:15" ht="15.75" x14ac:dyDescent="0.25">
      <c r="A60" s="58"/>
      <c r="B60" s="242" t="s">
        <v>40</v>
      </c>
      <c r="C60" s="242"/>
      <c r="D60" s="242"/>
      <c r="E60" s="52">
        <f>-800718.21-387242.18</f>
        <v>-1187960.3899999999</v>
      </c>
      <c r="F60" s="48"/>
      <c r="G60" s="106"/>
      <c r="H60" s="106"/>
      <c r="I60" s="106"/>
      <c r="J60" s="49"/>
    </row>
    <row r="61" spans="1:15" ht="15.75" x14ac:dyDescent="0.25">
      <c r="A61" s="250" t="s">
        <v>75</v>
      </c>
      <c r="B61" s="251"/>
      <c r="C61" s="251"/>
      <c r="D61" s="251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42" t="s">
        <v>42</v>
      </c>
      <c r="C62" s="242"/>
      <c r="D62" s="242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2" t="s">
        <v>41</v>
      </c>
      <c r="C63" s="242"/>
      <c r="D63" s="242"/>
      <c r="E63" s="52">
        <v>-71568.17</v>
      </c>
      <c r="F63" s="48"/>
      <c r="G63" s="106"/>
      <c r="H63" s="106"/>
      <c r="I63" s="106"/>
      <c r="J63" s="49"/>
    </row>
    <row r="64" spans="1:15" ht="15.75" x14ac:dyDescent="0.25">
      <c r="A64" s="252" t="s">
        <v>76</v>
      </c>
      <c r="B64" s="253"/>
      <c r="C64" s="253"/>
      <c r="D64" s="253"/>
      <c r="E64" s="51">
        <f>E65+E66</f>
        <v>1788849.9300000002</v>
      </c>
      <c r="F64" s="48"/>
      <c r="G64" s="106"/>
      <c r="H64" s="254"/>
      <c r="I64" s="254"/>
      <c r="J64" s="49"/>
    </row>
    <row r="65" spans="1:12" ht="15.75" x14ac:dyDescent="0.25">
      <c r="A65" s="58"/>
      <c r="B65" s="242" t="s">
        <v>56</v>
      </c>
      <c r="C65" s="242"/>
      <c r="D65" s="242"/>
      <c r="E65" s="52">
        <f>2319674.58+10830</f>
        <v>2330504.58</v>
      </c>
      <c r="F65" s="48"/>
      <c r="G65" s="106"/>
      <c r="H65" s="106"/>
      <c r="I65" s="106"/>
      <c r="J65" s="49"/>
    </row>
    <row r="66" spans="1:12" ht="15.75" x14ac:dyDescent="0.25">
      <c r="A66" s="58"/>
      <c r="B66" s="242" t="s">
        <v>41</v>
      </c>
      <c r="C66" s="242"/>
      <c r="D66" s="242"/>
      <c r="E66" s="52">
        <v>-541654.65</v>
      </c>
      <c r="F66" s="48"/>
      <c r="G66" s="106"/>
      <c r="H66" s="106"/>
      <c r="I66" s="106"/>
      <c r="J66" s="49"/>
    </row>
    <row r="67" spans="1:12" s="19" customFormat="1" ht="24" customHeight="1" x14ac:dyDescent="0.25">
      <c r="A67" s="243" t="s">
        <v>43</v>
      </c>
      <c r="B67" s="244"/>
      <c r="C67" s="244"/>
      <c r="D67" s="244"/>
      <c r="E67" s="51">
        <f>E53+E39+E12</f>
        <v>172032945.42999998</v>
      </c>
      <c r="F67" s="245" t="s">
        <v>44</v>
      </c>
      <c r="G67" s="246"/>
      <c r="H67" s="246"/>
      <c r="I67" s="246"/>
      <c r="J67" s="51">
        <f>J39+J12+J29+J46</f>
        <v>172032945.42999998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7" t="s">
        <v>45</v>
      </c>
      <c r="B71" s="248"/>
      <c r="C71" s="248"/>
      <c r="D71" s="248"/>
      <c r="E71" s="248"/>
      <c r="F71" s="248" t="s">
        <v>46</v>
      </c>
      <c r="G71" s="248"/>
      <c r="H71" s="248"/>
      <c r="I71" s="248"/>
      <c r="J71" s="249"/>
    </row>
    <row r="72" spans="1:12" ht="15.75" x14ac:dyDescent="0.25">
      <c r="A72" s="231" t="s">
        <v>61</v>
      </c>
      <c r="B72" s="232"/>
      <c r="C72" s="232"/>
      <c r="D72" s="232"/>
      <c r="E72" s="232"/>
      <c r="F72" s="241"/>
      <c r="G72" s="241"/>
      <c r="H72" s="241"/>
      <c r="I72" s="241"/>
      <c r="J72" s="25"/>
    </row>
    <row r="73" spans="1:12" ht="15.75" x14ac:dyDescent="0.25">
      <c r="A73" s="231" t="s">
        <v>59</v>
      </c>
      <c r="B73" s="232"/>
      <c r="C73" s="232"/>
      <c r="D73" s="232"/>
      <c r="E73" s="232"/>
      <c r="F73" s="232" t="s">
        <v>47</v>
      </c>
      <c r="G73" s="232"/>
      <c r="H73" s="232"/>
      <c r="I73" s="232"/>
      <c r="J73" s="233"/>
    </row>
    <row r="74" spans="1:12" s="7" customFormat="1" ht="15.75" x14ac:dyDescent="0.25">
      <c r="A74" s="231" t="s">
        <v>62</v>
      </c>
      <c r="B74" s="232"/>
      <c r="C74" s="232"/>
      <c r="D74" s="232"/>
      <c r="E74" s="232"/>
      <c r="F74" s="232" t="s">
        <v>48</v>
      </c>
      <c r="G74" s="232"/>
      <c r="H74" s="232"/>
      <c r="I74" s="232"/>
      <c r="J74" s="233"/>
      <c r="K74" s="26"/>
    </row>
    <row r="75" spans="1:12" ht="15.75" x14ac:dyDescent="0.25">
      <c r="A75" s="231" t="s">
        <v>49</v>
      </c>
      <c r="B75" s="232"/>
      <c r="C75" s="232"/>
      <c r="D75" s="232"/>
      <c r="E75" s="232"/>
      <c r="F75" s="232" t="s">
        <v>50</v>
      </c>
      <c r="G75" s="232"/>
      <c r="H75" s="232"/>
      <c r="I75" s="232"/>
      <c r="J75" s="233"/>
    </row>
    <row r="76" spans="1:12" s="7" customFormat="1" ht="15.75" x14ac:dyDescent="0.25">
      <c r="A76" s="231" t="s">
        <v>64</v>
      </c>
      <c r="B76" s="232"/>
      <c r="C76" s="232"/>
      <c r="D76" s="232"/>
      <c r="E76" s="232"/>
      <c r="F76" s="237"/>
      <c r="G76" s="237"/>
      <c r="H76" s="237"/>
      <c r="I76" s="237"/>
      <c r="J76" s="238"/>
    </row>
    <row r="77" spans="1:12" ht="15.75" x14ac:dyDescent="0.25">
      <c r="A77" s="231" t="s">
        <v>65</v>
      </c>
      <c r="B77" s="232"/>
      <c r="C77" s="232"/>
      <c r="D77" s="232"/>
      <c r="E77" s="232"/>
      <c r="F77" s="239" t="s">
        <v>51</v>
      </c>
      <c r="G77" s="239"/>
      <c r="H77" s="239"/>
      <c r="I77" s="239"/>
      <c r="J77" s="240"/>
    </row>
    <row r="78" spans="1:12" ht="15.75" x14ac:dyDescent="0.25">
      <c r="A78" s="231" t="s">
        <v>60</v>
      </c>
      <c r="B78" s="232"/>
      <c r="C78" s="232"/>
      <c r="D78" s="232"/>
      <c r="E78" s="232"/>
      <c r="F78" s="232" t="s">
        <v>52</v>
      </c>
      <c r="G78" s="232"/>
      <c r="H78" s="232"/>
      <c r="I78" s="232"/>
      <c r="J78" s="233"/>
    </row>
    <row r="79" spans="1:12" ht="16.5" thickBot="1" x14ac:dyDescent="0.3">
      <c r="A79" s="234" t="s">
        <v>53</v>
      </c>
      <c r="B79" s="235"/>
      <c r="C79" s="235"/>
      <c r="D79" s="235"/>
      <c r="E79" s="235"/>
      <c r="F79" s="235" t="s">
        <v>54</v>
      </c>
      <c r="G79" s="235"/>
      <c r="H79" s="235"/>
      <c r="I79" s="235"/>
      <c r="J79" s="236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O86"/>
  <sheetViews>
    <sheetView topLeftCell="A33" workbookViewId="0">
      <selection activeCell="H63" sqref="H6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67"/>
      <c r="C4" s="267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67"/>
      <c r="C5" s="267"/>
      <c r="D5" s="128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68"/>
      <c r="B6" s="269"/>
      <c r="C6" s="269"/>
      <c r="D6" s="269"/>
      <c r="E6" s="269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70" t="s">
        <v>80</v>
      </c>
      <c r="B8" s="271"/>
      <c r="C8" s="271"/>
      <c r="D8" s="271"/>
      <c r="E8" s="271"/>
      <c r="F8" s="271"/>
      <c r="G8" s="271"/>
      <c r="H8" s="271"/>
      <c r="I8" s="271"/>
      <c r="J8" s="272"/>
    </row>
    <row r="9" spans="1:14" ht="15" customHeight="1" thickBot="1" x14ac:dyDescent="0.25">
      <c r="A9" s="270"/>
      <c r="B9" s="271"/>
      <c r="C9" s="271"/>
      <c r="D9" s="271"/>
      <c r="E9" s="271"/>
      <c r="F9" s="271"/>
      <c r="G9" s="271"/>
      <c r="H9" s="271"/>
      <c r="I9" s="271"/>
      <c r="J9" s="272"/>
    </row>
    <row r="10" spans="1:14" s="17" customFormat="1" ht="25.5" customHeight="1" thickBot="1" x14ac:dyDescent="0.35">
      <c r="A10" s="273" t="s">
        <v>4</v>
      </c>
      <c r="B10" s="274"/>
      <c r="C10" s="274"/>
      <c r="D10" s="274"/>
      <c r="E10" s="274"/>
      <c r="F10" s="273" t="s">
        <v>5</v>
      </c>
      <c r="G10" s="274"/>
      <c r="H10" s="274"/>
      <c r="I10" s="274"/>
      <c r="J10" s="275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43" t="s">
        <v>6</v>
      </c>
      <c r="B12" s="244"/>
      <c r="C12" s="244"/>
      <c r="D12" s="244"/>
      <c r="E12" s="51">
        <f>SUM(E14+E16+E19+E22+E28+E31+E35)</f>
        <v>141016661.22</v>
      </c>
      <c r="F12" s="261" t="s">
        <v>7</v>
      </c>
      <c r="G12" s="262"/>
      <c r="H12" s="262"/>
      <c r="I12" s="262"/>
      <c r="J12" s="43">
        <f>J16+J20</f>
        <v>38770740</v>
      </c>
    </row>
    <row r="13" spans="1:14" s="19" customFormat="1" ht="15.75" x14ac:dyDescent="0.25">
      <c r="A13" s="126"/>
      <c r="B13" s="124"/>
      <c r="C13" s="124"/>
      <c r="D13" s="124"/>
      <c r="E13" s="52"/>
      <c r="F13" s="127"/>
      <c r="G13" s="120"/>
      <c r="H13" s="120"/>
      <c r="I13" s="120"/>
      <c r="J13" s="44"/>
    </row>
    <row r="14" spans="1:14" s="19" customFormat="1" ht="15.75" x14ac:dyDescent="0.25">
      <c r="A14" s="250" t="s">
        <v>8</v>
      </c>
      <c r="B14" s="251"/>
      <c r="C14" s="251"/>
      <c r="D14" s="251"/>
      <c r="E14" s="52">
        <f>85136.84-305.67</f>
        <v>84831.17</v>
      </c>
      <c r="F14" s="127"/>
      <c r="G14" s="263"/>
      <c r="H14" s="263"/>
      <c r="I14" s="263"/>
      <c r="J14" s="44"/>
    </row>
    <row r="15" spans="1:14" s="19" customFormat="1" ht="15.75" x14ac:dyDescent="0.25">
      <c r="A15" s="58"/>
      <c r="B15" s="124"/>
      <c r="C15" s="124"/>
      <c r="D15" s="124"/>
      <c r="E15" s="52"/>
      <c r="F15" s="264"/>
      <c r="G15" s="265"/>
      <c r="H15" s="265"/>
      <c r="I15" s="265"/>
      <c r="J15" s="266"/>
    </row>
    <row r="16" spans="1:14" s="19" customFormat="1" ht="15.75" x14ac:dyDescent="0.25">
      <c r="A16" s="250" t="s">
        <v>9</v>
      </c>
      <c r="B16" s="251"/>
      <c r="C16" s="251"/>
      <c r="D16" s="251"/>
      <c r="E16" s="51">
        <f>SUM(E17)</f>
        <v>30682425.609999999</v>
      </c>
      <c r="F16" s="258" t="s">
        <v>10</v>
      </c>
      <c r="G16" s="259"/>
      <c r="H16" s="259"/>
      <c r="I16" s="259"/>
      <c r="J16" s="45">
        <f>SUM(J17+J18)</f>
        <v>2002429.4100000001</v>
      </c>
    </row>
    <row r="17" spans="1:10" ht="15.75" x14ac:dyDescent="0.25">
      <c r="A17" s="58"/>
      <c r="B17" s="242" t="s">
        <v>11</v>
      </c>
      <c r="C17" s="242"/>
      <c r="D17" s="242"/>
      <c r="E17" s="52">
        <v>30682425.609999999</v>
      </c>
      <c r="F17" s="127"/>
      <c r="G17" s="119" t="s">
        <v>12</v>
      </c>
      <c r="H17" s="32" t="s">
        <v>63</v>
      </c>
      <c r="I17" s="32"/>
      <c r="J17" s="46">
        <v>1532028.81</v>
      </c>
    </row>
    <row r="18" spans="1:10" ht="15.75" x14ac:dyDescent="0.25">
      <c r="A18" s="58"/>
      <c r="B18" s="124"/>
      <c r="C18" s="124"/>
      <c r="D18" s="124"/>
      <c r="E18" s="52"/>
      <c r="F18" s="127"/>
      <c r="G18" s="119"/>
      <c r="H18" s="119" t="s">
        <v>12</v>
      </c>
      <c r="I18" s="32"/>
      <c r="J18" s="46">
        <v>470400.6</v>
      </c>
    </row>
    <row r="19" spans="1:10" ht="15.75" x14ac:dyDescent="0.25">
      <c r="A19" s="250" t="s">
        <v>13</v>
      </c>
      <c r="B19" s="251"/>
      <c r="C19" s="251"/>
      <c r="D19" s="251"/>
      <c r="E19" s="51">
        <f>SUM(E20)</f>
        <v>58947774.100000001</v>
      </c>
      <c r="F19" s="127"/>
      <c r="G19" s="120"/>
      <c r="H19" s="119"/>
      <c r="I19" s="120"/>
      <c r="J19" s="46"/>
    </row>
    <row r="20" spans="1:10" ht="15.75" x14ac:dyDescent="0.25">
      <c r="A20" s="58"/>
      <c r="B20" s="242" t="s">
        <v>14</v>
      </c>
      <c r="C20" s="242"/>
      <c r="D20" s="242"/>
      <c r="E20" s="52">
        <v>58947774.100000001</v>
      </c>
      <c r="F20" s="258" t="s">
        <v>15</v>
      </c>
      <c r="G20" s="259"/>
      <c r="H20" s="259"/>
      <c r="I20" s="259"/>
      <c r="J20" s="45">
        <f>SUM(J21:J23)</f>
        <v>36768310.589999996</v>
      </c>
    </row>
    <row r="21" spans="1:10" ht="15.75" x14ac:dyDescent="0.25">
      <c r="A21" s="58"/>
      <c r="B21" s="244"/>
      <c r="C21" s="244"/>
      <c r="D21" s="244"/>
      <c r="E21" s="51"/>
      <c r="F21" s="47"/>
      <c r="G21" s="260" t="s">
        <v>16</v>
      </c>
      <c r="H21" s="260"/>
      <c r="I21" s="260"/>
      <c r="J21" s="46">
        <v>1922631.44</v>
      </c>
    </row>
    <row r="22" spans="1:10" ht="15.75" x14ac:dyDescent="0.25">
      <c r="A22" s="250" t="s">
        <v>17</v>
      </c>
      <c r="B22" s="251"/>
      <c r="C22" s="251"/>
      <c r="D22" s="251"/>
      <c r="E22" s="51">
        <f>E23+E24+E25+E26</f>
        <v>35753980.430000007</v>
      </c>
      <c r="F22" s="47"/>
      <c r="G22" s="119" t="s">
        <v>18</v>
      </c>
      <c r="H22" s="119" t="s">
        <v>18</v>
      </c>
      <c r="I22" s="119"/>
      <c r="J22" s="46">
        <v>710546.1</v>
      </c>
    </row>
    <row r="23" spans="1:10" ht="15.75" x14ac:dyDescent="0.25">
      <c r="A23" s="58"/>
      <c r="B23" s="242" t="s">
        <v>19</v>
      </c>
      <c r="C23" s="242"/>
      <c r="D23" s="242"/>
      <c r="E23" s="52">
        <f>3457630.9+16217430.27+1364114.61+1576750.21+777127.83+477420.03+408547.69+2401951.24</f>
        <v>26680972.780000001</v>
      </c>
      <c r="F23" s="47"/>
      <c r="G23" s="119" t="s">
        <v>20</v>
      </c>
      <c r="H23" s="119" t="s">
        <v>20</v>
      </c>
      <c r="I23" s="119"/>
      <c r="J23" s="46">
        <f>16995.69+34118137.36</f>
        <v>34135133.049999997</v>
      </c>
    </row>
    <row r="24" spans="1:10" ht="15.75" x14ac:dyDescent="0.25">
      <c r="A24" s="58"/>
      <c r="B24" s="255" t="s">
        <v>21</v>
      </c>
      <c r="C24" s="255"/>
      <c r="D24" s="255"/>
      <c r="E24" s="52">
        <f>2688256.73+5446737.32+1001065.5+613619.56+821082.62+196369.31+158890.99+630251.78+374748.89+1500734.25+146181.64+21815.68+161345.19</f>
        <v>13761099.460000001</v>
      </c>
      <c r="F24" s="47"/>
      <c r="G24" s="120"/>
      <c r="H24" s="119"/>
      <c r="I24" s="20"/>
      <c r="J24" s="46"/>
    </row>
    <row r="25" spans="1:10" ht="15.75" x14ac:dyDescent="0.25">
      <c r="A25" s="60"/>
      <c r="B25" s="255" t="s">
        <v>66</v>
      </c>
      <c r="C25" s="255"/>
      <c r="D25" s="255"/>
      <c r="E25" s="52">
        <f>58227.86+45929.25+98913.95</f>
        <v>203071.06</v>
      </c>
      <c r="F25" s="48"/>
      <c r="G25" s="121"/>
      <c r="H25" s="121"/>
      <c r="I25" s="121"/>
      <c r="J25" s="49"/>
    </row>
    <row r="26" spans="1:10" ht="15.75" x14ac:dyDescent="0.25">
      <c r="A26" s="58"/>
      <c r="B26" s="255" t="s">
        <v>22</v>
      </c>
      <c r="C26" s="255"/>
      <c r="D26" s="255"/>
      <c r="E26" s="52">
        <f>-17288.14-162174.23-40923.44-157674.95-233138.22-238709.93-285983.23-2401949.78-13441.27-54467.29-30031.93-61361.88-246324.36-98184.54-111223.57-630251.12-1873.73-15007.27-4385.42-2181.56-80672.58-291.14-459.29-2967.41-196.59</f>
        <v>-4891162.8699999992</v>
      </c>
      <c r="F26" s="48"/>
      <c r="G26" s="121"/>
      <c r="H26" s="121"/>
      <c r="I26" s="121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50" t="s">
        <v>23</v>
      </c>
      <c r="B28" s="251"/>
      <c r="C28" s="251"/>
      <c r="D28" s="251"/>
      <c r="E28" s="51">
        <f>E29</f>
        <v>15216068.57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55" t="s">
        <v>24</v>
      </c>
      <c r="C29" s="255"/>
      <c r="D29" s="255"/>
      <c r="E29" s="52">
        <f>20427625.07-5211556.5</f>
        <v>15216068.57</v>
      </c>
      <c r="F29" s="256" t="s">
        <v>25</v>
      </c>
      <c r="G29" s="257"/>
      <c r="H29" s="257"/>
      <c r="I29" s="257"/>
      <c r="J29" s="51">
        <f>J33</f>
        <v>21227409.120000001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50"/>
      <c r="B31" s="251"/>
      <c r="C31" s="251"/>
      <c r="D31" s="251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2"/>
      <c r="C32" s="242"/>
      <c r="D32" s="123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2"/>
      <c r="C33" s="242"/>
      <c r="D33" s="123"/>
      <c r="E33" s="66"/>
      <c r="F33" s="256" t="s">
        <v>10</v>
      </c>
      <c r="G33" s="257"/>
      <c r="H33" s="257"/>
      <c r="I33" s="257"/>
      <c r="J33" s="51">
        <f>SUM(J34+J35)</f>
        <v>21227409.120000001</v>
      </c>
    </row>
    <row r="34" spans="1:15" ht="15.75" x14ac:dyDescent="0.25">
      <c r="A34" s="58"/>
      <c r="B34" s="20"/>
      <c r="C34" s="125"/>
      <c r="D34" s="125"/>
      <c r="E34" s="52"/>
      <c r="F34" s="48"/>
      <c r="G34" s="21" t="s">
        <v>57</v>
      </c>
      <c r="H34" s="21" t="s">
        <v>57</v>
      </c>
      <c r="I34" s="21"/>
      <c r="J34" s="52">
        <v>16407905.23</v>
      </c>
    </row>
    <row r="35" spans="1:15" ht="15.75" x14ac:dyDescent="0.25">
      <c r="A35" s="250" t="s">
        <v>26</v>
      </c>
      <c r="B35" s="251"/>
      <c r="C35" s="251"/>
      <c r="D35" s="251"/>
      <c r="E35" s="51">
        <f>E36</f>
        <v>331581.34000000003</v>
      </c>
      <c r="F35" s="67"/>
      <c r="G35" s="68"/>
      <c r="H35" s="21" t="s">
        <v>12</v>
      </c>
      <c r="I35" s="21"/>
      <c r="J35" s="52">
        <v>4819503.8899999997</v>
      </c>
    </row>
    <row r="36" spans="1:15" ht="15.75" x14ac:dyDescent="0.25">
      <c r="A36" s="58"/>
      <c r="B36" s="255" t="s">
        <v>27</v>
      </c>
      <c r="C36" s="255"/>
      <c r="D36" s="255"/>
      <c r="E36" s="52">
        <v>331581.34000000003</v>
      </c>
      <c r="F36" s="48"/>
      <c r="G36" s="21"/>
      <c r="H36" s="21"/>
      <c r="I36" s="21"/>
      <c r="J36" s="49"/>
    </row>
    <row r="37" spans="1:15" ht="15.75" x14ac:dyDescent="0.25">
      <c r="A37" s="58"/>
      <c r="B37" s="125"/>
      <c r="C37" s="125"/>
      <c r="D37" s="125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25"/>
      <c r="C38" s="125"/>
      <c r="D38" s="125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54157122.820000015</v>
      </c>
      <c r="F39" s="245" t="s">
        <v>29</v>
      </c>
      <c r="G39" s="246"/>
      <c r="H39" s="246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54" t="s">
        <v>30</v>
      </c>
      <c r="H40" s="254"/>
      <c r="I40" s="254"/>
      <c r="J40" s="52">
        <v>133378731.77</v>
      </c>
    </row>
    <row r="41" spans="1:15" ht="15.75" x14ac:dyDescent="0.25">
      <c r="A41" s="250" t="s">
        <v>81</v>
      </c>
      <c r="B41" s="251"/>
      <c r="C41" s="251"/>
      <c r="D41" s="251"/>
      <c r="E41" s="51">
        <f>E42+E43+E44+E45</f>
        <v>48945566.320000015</v>
      </c>
      <c r="F41" s="48"/>
      <c r="G41" s="254" t="s">
        <v>32</v>
      </c>
      <c r="H41" s="254"/>
      <c r="I41" s="254"/>
      <c r="J41" s="52">
        <v>7312597.3899999997</v>
      </c>
    </row>
    <row r="42" spans="1:15" ht="15.75" x14ac:dyDescent="0.25">
      <c r="A42" s="60"/>
      <c r="B42" s="242" t="s">
        <v>19</v>
      </c>
      <c r="C42" s="242"/>
      <c r="D42" s="242"/>
      <c r="E42" s="52">
        <f>2160546.27+8641096.46+459599.16+941350.91+485802.37+115692.5+119531.8+1007828.41</f>
        <v>13931447.880000001</v>
      </c>
      <c r="F42" s="48"/>
      <c r="G42" s="254"/>
      <c r="H42" s="254"/>
      <c r="I42" s="254"/>
      <c r="J42" s="52"/>
    </row>
    <row r="43" spans="1:15" ht="15.75" x14ac:dyDescent="0.25">
      <c r="A43" s="60"/>
      <c r="B43" s="255" t="s">
        <v>21</v>
      </c>
      <c r="C43" s="255"/>
      <c r="D43" s="255"/>
      <c r="E43" s="52">
        <f>6632298.03+11190462.96+1687788.9+671529.25+1473862.69+221304.22+221650.55+659699.99+2172958.42+9955703.8+1560276.09+90351.5+204428.95</f>
        <v>36742315.350000009</v>
      </c>
      <c r="F43" s="48"/>
      <c r="G43" s="121"/>
      <c r="H43" s="121"/>
      <c r="I43" s="121"/>
      <c r="J43" s="49"/>
    </row>
    <row r="44" spans="1:15" ht="15.75" x14ac:dyDescent="0.25">
      <c r="A44" s="60"/>
      <c r="B44" s="255" t="s">
        <v>66</v>
      </c>
      <c r="C44" s="255"/>
      <c r="D44" s="255"/>
      <c r="E44" s="52">
        <f>811642.09+672354.98+204118.71</f>
        <v>1688115.7799999998</v>
      </c>
      <c r="F44" s="48"/>
      <c r="G44" s="121"/>
      <c r="H44" s="121"/>
      <c r="I44" s="121"/>
      <c r="J44" s="49"/>
    </row>
    <row r="45" spans="1:15" ht="15.75" x14ac:dyDescent="0.25">
      <c r="A45" s="60"/>
      <c r="B45" s="255" t="s">
        <v>22</v>
      </c>
      <c r="C45" s="255"/>
      <c r="D45" s="255"/>
      <c r="E45" s="52">
        <f>-10802.72-86411.09-13788-94135.17-145740.85-57846.41-83672.42-1007829.87-33161.51-111904.75-50633.7-67153.02-442159.24-110652.26-155155.52-659700.65-10864.8-99557.11-46808.31-9035.16-102214.49-4058.21-6723.55-6123.57-180.31</f>
        <v>-3416312.6899999995</v>
      </c>
      <c r="F45" s="48"/>
      <c r="G45" s="21"/>
      <c r="H45" s="21"/>
      <c r="I45" s="21"/>
      <c r="J45" s="53"/>
    </row>
    <row r="46" spans="1:15" ht="15" customHeight="1" x14ac:dyDescent="0.25">
      <c r="A46" s="250"/>
      <c r="B46" s="251"/>
      <c r="C46" s="251"/>
      <c r="D46" s="251"/>
      <c r="E46" s="51"/>
      <c r="F46" s="50" t="s">
        <v>33</v>
      </c>
      <c r="G46" s="122"/>
      <c r="H46" s="122"/>
      <c r="I46" s="122"/>
      <c r="J46" s="51">
        <f>SUM(J49:J54)</f>
        <v>792339.38999999943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55"/>
      <c r="C47" s="255"/>
      <c r="D47" s="255"/>
      <c r="E47" s="52"/>
      <c r="F47" s="48"/>
      <c r="G47" s="254" t="s">
        <v>34</v>
      </c>
      <c r="H47" s="254"/>
      <c r="I47" s="254"/>
      <c r="J47" s="52">
        <v>11155142.77</v>
      </c>
      <c r="K47" s="48"/>
      <c r="L47" s="254"/>
      <c r="M47" s="254"/>
      <c r="N47" s="254"/>
      <c r="O47" s="83"/>
    </row>
    <row r="48" spans="1:15" ht="15.75" hidden="1" customHeight="1" x14ac:dyDescent="0.25">
      <c r="A48" s="60"/>
      <c r="B48" s="125"/>
      <c r="C48" s="125"/>
      <c r="D48" s="125"/>
      <c r="E48" s="52"/>
      <c r="F48" s="48"/>
      <c r="G48" s="254" t="s">
        <v>35</v>
      </c>
      <c r="H48" s="254"/>
      <c r="I48" s="254"/>
      <c r="J48" s="52">
        <v>-10361959.039999999</v>
      </c>
      <c r="K48" s="48"/>
      <c r="L48" s="121"/>
      <c r="M48" s="121"/>
      <c r="N48" s="121"/>
      <c r="O48" s="83"/>
    </row>
    <row r="49" spans="1:15" ht="15.75" x14ac:dyDescent="0.25">
      <c r="A49" s="60"/>
      <c r="B49" s="255"/>
      <c r="C49" s="255"/>
      <c r="D49" s="255"/>
      <c r="E49" s="52"/>
      <c r="F49" s="48"/>
      <c r="G49" s="254" t="s">
        <v>34</v>
      </c>
      <c r="H49" s="254"/>
      <c r="I49" s="254"/>
      <c r="J49" s="52">
        <v>12182158.49</v>
      </c>
      <c r="K49" s="50"/>
      <c r="L49" s="122"/>
      <c r="M49" s="122"/>
      <c r="N49" s="122"/>
      <c r="O49" s="84"/>
    </row>
    <row r="50" spans="1:15" ht="15.75" x14ac:dyDescent="0.25">
      <c r="A50" s="250" t="s">
        <v>23</v>
      </c>
      <c r="B50" s="251"/>
      <c r="C50" s="251"/>
      <c r="D50" s="251"/>
      <c r="E50" s="51">
        <f>E51+E52</f>
        <v>5211556.5</v>
      </c>
      <c r="F50" s="48"/>
      <c r="G50" s="254" t="s">
        <v>73</v>
      </c>
      <c r="H50" s="254"/>
      <c r="I50" s="254"/>
      <c r="J50" s="52">
        <v>-11639439.050000001</v>
      </c>
      <c r="K50" s="48"/>
      <c r="L50" s="254"/>
      <c r="M50" s="254"/>
      <c r="N50" s="254"/>
      <c r="O50" s="85"/>
    </row>
    <row r="51" spans="1:15" ht="15.75" x14ac:dyDescent="0.25">
      <c r="A51" s="60"/>
      <c r="B51" s="255" t="s">
        <v>58</v>
      </c>
      <c r="C51" s="255"/>
      <c r="D51" s="255"/>
      <c r="E51" s="52">
        <v>5211556.5</v>
      </c>
      <c r="F51" s="48"/>
      <c r="G51" s="254" t="s">
        <v>36</v>
      </c>
      <c r="H51" s="254"/>
      <c r="I51" s="254"/>
      <c r="J51" s="52">
        <v>0</v>
      </c>
      <c r="K51" s="48"/>
      <c r="L51" s="254"/>
      <c r="M51" s="254"/>
      <c r="N51" s="254"/>
      <c r="O51" s="85"/>
    </row>
    <row r="52" spans="1:15" ht="15.75" x14ac:dyDescent="0.25">
      <c r="A52" s="60"/>
      <c r="B52" s="255"/>
      <c r="C52" s="255"/>
      <c r="D52" s="255"/>
      <c r="E52" s="52"/>
      <c r="F52" s="48"/>
      <c r="G52" s="254" t="s">
        <v>74</v>
      </c>
      <c r="H52" s="254"/>
      <c r="I52" s="254"/>
      <c r="J52" s="52">
        <v>-2207.2399999999998</v>
      </c>
      <c r="K52" s="48"/>
      <c r="L52" s="254"/>
      <c r="M52" s="254"/>
      <c r="N52" s="254"/>
      <c r="O52" s="85"/>
    </row>
    <row r="53" spans="1:15" s="19" customFormat="1" ht="15.75" x14ac:dyDescent="0.25">
      <c r="A53" s="243" t="s">
        <v>37</v>
      </c>
      <c r="B53" s="244"/>
      <c r="C53" s="244"/>
      <c r="D53" s="244"/>
      <c r="E53" s="51">
        <f>SUM(E54+E58+E61+E64)</f>
        <v>6308033.6299999999</v>
      </c>
      <c r="F53" s="48"/>
      <c r="G53" s="254" t="s">
        <v>38</v>
      </c>
      <c r="H53" s="254"/>
      <c r="I53" s="254"/>
      <c r="J53" s="52">
        <v>161141.99</v>
      </c>
    </row>
    <row r="54" spans="1:15" ht="15.75" x14ac:dyDescent="0.25">
      <c r="A54" s="250" t="s">
        <v>67</v>
      </c>
      <c r="B54" s="251"/>
      <c r="C54" s="251"/>
      <c r="D54" s="251"/>
      <c r="E54" s="51">
        <f>E55+E56+E57</f>
        <v>3982291.2600000002</v>
      </c>
      <c r="F54" s="48"/>
      <c r="G54" s="254" t="s">
        <v>39</v>
      </c>
      <c r="H54" s="254"/>
      <c r="I54" s="254"/>
      <c r="J54" s="52">
        <v>90685.2</v>
      </c>
    </row>
    <row r="55" spans="1:15" ht="15.75" x14ac:dyDescent="0.25">
      <c r="A55" s="58"/>
      <c r="B55" s="242" t="s">
        <v>68</v>
      </c>
      <c r="C55" s="242"/>
      <c r="D55" s="242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2" t="s">
        <v>69</v>
      </c>
      <c r="C56" s="242"/>
      <c r="D56" s="242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2" t="s">
        <v>40</v>
      </c>
      <c r="C57" s="242"/>
      <c r="D57" s="242"/>
      <c r="E57" s="52">
        <v>-306972.48</v>
      </c>
      <c r="F57" s="48"/>
      <c r="G57" s="21"/>
      <c r="H57" s="21"/>
      <c r="I57" s="21"/>
      <c r="J57" s="49"/>
    </row>
    <row r="58" spans="1:15" ht="15.75" x14ac:dyDescent="0.25">
      <c r="A58" s="250" t="s">
        <v>70</v>
      </c>
      <c r="B58" s="251"/>
      <c r="C58" s="251"/>
      <c r="D58" s="251"/>
      <c r="E58" s="51">
        <f>E59+E60</f>
        <v>571286.74000000022</v>
      </c>
      <c r="F58" s="48"/>
      <c r="G58" s="254"/>
      <c r="H58" s="254"/>
      <c r="I58" s="254"/>
      <c r="J58" s="52"/>
    </row>
    <row r="59" spans="1:15" ht="15.75" x14ac:dyDescent="0.25">
      <c r="A59" s="58"/>
      <c r="B59" s="242" t="s">
        <v>71</v>
      </c>
      <c r="C59" s="242"/>
      <c r="D59" s="242"/>
      <c r="E59" s="52">
        <f>384659.22+61908.88+170264.1+4766.11+3051+62181.5+660540.56+39036.25+387021.3</f>
        <v>1773428.9200000002</v>
      </c>
      <c r="F59" s="48"/>
      <c r="G59" s="121"/>
      <c r="H59" s="121"/>
      <c r="I59" s="121"/>
      <c r="J59" s="49"/>
    </row>
    <row r="60" spans="1:15" ht="15.75" x14ac:dyDescent="0.25">
      <c r="A60" s="58"/>
      <c r="B60" s="242" t="s">
        <v>40</v>
      </c>
      <c r="C60" s="242"/>
      <c r="D60" s="242"/>
      <c r="E60" s="52">
        <f>-811213.37-390928.81</f>
        <v>-1202142.18</v>
      </c>
      <c r="F60" s="48"/>
      <c r="G60" s="121"/>
      <c r="H60" s="121"/>
      <c r="I60" s="121"/>
      <c r="J60" s="49"/>
    </row>
    <row r="61" spans="1:15" ht="15.75" x14ac:dyDescent="0.25">
      <c r="A61" s="250" t="s">
        <v>75</v>
      </c>
      <c r="B61" s="251"/>
      <c r="C61" s="251"/>
      <c r="D61" s="251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42" t="s">
        <v>42</v>
      </c>
      <c r="C62" s="242"/>
      <c r="D62" s="242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2" t="s">
        <v>41</v>
      </c>
      <c r="C63" s="242"/>
      <c r="D63" s="242"/>
      <c r="E63" s="52">
        <v>-71568.17</v>
      </c>
      <c r="F63" s="48"/>
      <c r="G63" s="121"/>
      <c r="H63" s="121"/>
      <c r="I63" s="121"/>
      <c r="J63" s="49"/>
    </row>
    <row r="64" spans="1:15" ht="15.75" x14ac:dyDescent="0.25">
      <c r="A64" s="252" t="s">
        <v>76</v>
      </c>
      <c r="B64" s="253"/>
      <c r="C64" s="253"/>
      <c r="D64" s="253"/>
      <c r="E64" s="51">
        <f>E65+E66</f>
        <v>1752696</v>
      </c>
      <c r="F64" s="48"/>
      <c r="G64" s="121"/>
      <c r="H64" s="254"/>
      <c r="I64" s="254"/>
      <c r="J64" s="49"/>
    </row>
    <row r="65" spans="1:12" ht="15.75" x14ac:dyDescent="0.25">
      <c r="A65" s="58"/>
      <c r="B65" s="242" t="s">
        <v>56</v>
      </c>
      <c r="C65" s="242"/>
      <c r="D65" s="242"/>
      <c r="E65" s="52">
        <f>2319674.58+10830</f>
        <v>2330504.58</v>
      </c>
      <c r="F65" s="48"/>
      <c r="G65" s="121"/>
      <c r="H65" s="121"/>
      <c r="I65" s="121"/>
      <c r="J65" s="49"/>
    </row>
    <row r="66" spans="1:12" ht="15.75" x14ac:dyDescent="0.25">
      <c r="A66" s="58"/>
      <c r="B66" s="242" t="s">
        <v>41</v>
      </c>
      <c r="C66" s="242"/>
      <c r="D66" s="242"/>
      <c r="E66" s="52">
        <v>-577808.57999999996</v>
      </c>
      <c r="F66" s="48"/>
      <c r="G66" s="121"/>
      <c r="H66" s="121"/>
      <c r="I66" s="121"/>
      <c r="J66" s="49"/>
    </row>
    <row r="67" spans="1:12" s="19" customFormat="1" ht="24" customHeight="1" x14ac:dyDescent="0.25">
      <c r="A67" s="243" t="s">
        <v>82</v>
      </c>
      <c r="B67" s="244"/>
      <c r="C67" s="244"/>
      <c r="D67" s="244"/>
      <c r="E67" s="51">
        <f>E53+E39+E12</f>
        <v>201481817.67000002</v>
      </c>
      <c r="F67" s="245" t="s">
        <v>44</v>
      </c>
      <c r="G67" s="246"/>
      <c r="H67" s="246"/>
      <c r="I67" s="246"/>
      <c r="J67" s="51">
        <f>J39+J12+J29+J46</f>
        <v>201481817.66999999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7" t="s">
        <v>45</v>
      </c>
      <c r="B71" s="248"/>
      <c r="C71" s="248"/>
      <c r="D71" s="248"/>
      <c r="E71" s="248"/>
      <c r="F71" s="248" t="s">
        <v>46</v>
      </c>
      <c r="G71" s="248"/>
      <c r="H71" s="248"/>
      <c r="I71" s="248"/>
      <c r="J71" s="249"/>
    </row>
    <row r="72" spans="1:12" ht="15.75" x14ac:dyDescent="0.25">
      <c r="A72" s="231" t="s">
        <v>61</v>
      </c>
      <c r="B72" s="232"/>
      <c r="C72" s="232"/>
      <c r="D72" s="232"/>
      <c r="E72" s="232"/>
      <c r="F72" s="241"/>
      <c r="G72" s="241"/>
      <c r="H72" s="241"/>
      <c r="I72" s="241"/>
      <c r="J72" s="25"/>
    </row>
    <row r="73" spans="1:12" ht="15.75" x14ac:dyDescent="0.25">
      <c r="A73" s="231" t="s">
        <v>59</v>
      </c>
      <c r="B73" s="232"/>
      <c r="C73" s="232"/>
      <c r="D73" s="232"/>
      <c r="E73" s="232"/>
      <c r="F73" s="232" t="s">
        <v>47</v>
      </c>
      <c r="G73" s="232"/>
      <c r="H73" s="232"/>
      <c r="I73" s="232"/>
      <c r="J73" s="233"/>
    </row>
    <row r="74" spans="1:12" s="7" customFormat="1" ht="15.75" x14ac:dyDescent="0.25">
      <c r="A74" s="231" t="s">
        <v>62</v>
      </c>
      <c r="B74" s="232"/>
      <c r="C74" s="232"/>
      <c r="D74" s="232"/>
      <c r="E74" s="232"/>
      <c r="F74" s="232" t="s">
        <v>48</v>
      </c>
      <c r="G74" s="232"/>
      <c r="H74" s="232"/>
      <c r="I74" s="232"/>
      <c r="J74" s="233"/>
      <c r="K74" s="26"/>
    </row>
    <row r="75" spans="1:12" ht="15.75" x14ac:dyDescent="0.25">
      <c r="A75" s="231" t="s">
        <v>49</v>
      </c>
      <c r="B75" s="232"/>
      <c r="C75" s="232"/>
      <c r="D75" s="232"/>
      <c r="E75" s="232"/>
      <c r="F75" s="232" t="s">
        <v>50</v>
      </c>
      <c r="G75" s="232"/>
      <c r="H75" s="232"/>
      <c r="I75" s="232"/>
      <c r="J75" s="233"/>
    </row>
    <row r="76" spans="1:12" s="7" customFormat="1" ht="15.75" x14ac:dyDescent="0.25">
      <c r="A76" s="231" t="s">
        <v>64</v>
      </c>
      <c r="B76" s="232"/>
      <c r="C76" s="232"/>
      <c r="D76" s="232"/>
      <c r="E76" s="232"/>
      <c r="F76" s="237"/>
      <c r="G76" s="237"/>
      <c r="H76" s="237"/>
      <c r="I76" s="237"/>
      <c r="J76" s="238"/>
    </row>
    <row r="77" spans="1:12" ht="15.75" x14ac:dyDescent="0.25">
      <c r="A77" s="231" t="s">
        <v>65</v>
      </c>
      <c r="B77" s="232"/>
      <c r="C77" s="232"/>
      <c r="D77" s="232"/>
      <c r="E77" s="232"/>
      <c r="F77" s="239" t="s">
        <v>51</v>
      </c>
      <c r="G77" s="239"/>
      <c r="H77" s="239"/>
      <c r="I77" s="239"/>
      <c r="J77" s="240"/>
    </row>
    <row r="78" spans="1:12" ht="15.75" x14ac:dyDescent="0.25">
      <c r="A78" s="231" t="s">
        <v>60</v>
      </c>
      <c r="B78" s="232"/>
      <c r="C78" s="232"/>
      <c r="D78" s="232"/>
      <c r="E78" s="232"/>
      <c r="F78" s="232" t="s">
        <v>52</v>
      </c>
      <c r="G78" s="232"/>
      <c r="H78" s="232"/>
      <c r="I78" s="232"/>
      <c r="J78" s="233"/>
    </row>
    <row r="79" spans="1:12" ht="16.5" thickBot="1" x14ac:dyDescent="0.3">
      <c r="A79" s="234" t="s">
        <v>53</v>
      </c>
      <c r="B79" s="235"/>
      <c r="C79" s="235"/>
      <c r="D79" s="235"/>
      <c r="E79" s="235"/>
      <c r="F79" s="235" t="s">
        <v>54</v>
      </c>
      <c r="G79" s="235"/>
      <c r="H79" s="235"/>
      <c r="I79" s="235"/>
      <c r="J79" s="236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2:E72"/>
    <mergeCell ref="F72:I72"/>
    <mergeCell ref="A73:E73"/>
    <mergeCell ref="F73:J73"/>
    <mergeCell ref="A74:E74"/>
    <mergeCell ref="F74:J74"/>
    <mergeCell ref="B65:D65"/>
    <mergeCell ref="B66:D66"/>
    <mergeCell ref="A67:D67"/>
    <mergeCell ref="F67:I67"/>
    <mergeCell ref="A71:E71"/>
    <mergeCell ref="F71:J71"/>
    <mergeCell ref="B60:D60"/>
    <mergeCell ref="A61:D61"/>
    <mergeCell ref="B62:D62"/>
    <mergeCell ref="B63:D63"/>
    <mergeCell ref="A64:D64"/>
    <mergeCell ref="H64:I64"/>
    <mergeCell ref="B55:D55"/>
    <mergeCell ref="B56:D56"/>
    <mergeCell ref="B57:D57"/>
    <mergeCell ref="A58:D58"/>
    <mergeCell ref="G58:I58"/>
    <mergeCell ref="B59:D59"/>
    <mergeCell ref="B52:D52"/>
    <mergeCell ref="G52:I52"/>
    <mergeCell ref="L52:N52"/>
    <mergeCell ref="A53:D53"/>
    <mergeCell ref="G53:I53"/>
    <mergeCell ref="A54:D54"/>
    <mergeCell ref="G54:I54"/>
    <mergeCell ref="A50:D50"/>
    <mergeCell ref="G50:I50"/>
    <mergeCell ref="L50:N50"/>
    <mergeCell ref="B51:D51"/>
    <mergeCell ref="G51:I51"/>
    <mergeCell ref="L51:N51"/>
    <mergeCell ref="B47:D47"/>
    <mergeCell ref="G47:I47"/>
    <mergeCell ref="L47:N47"/>
    <mergeCell ref="G48:I48"/>
    <mergeCell ref="B49:D49"/>
    <mergeCell ref="G49:I49"/>
    <mergeCell ref="B42:D42"/>
    <mergeCell ref="G42:I42"/>
    <mergeCell ref="B43:D43"/>
    <mergeCell ref="B44:D44"/>
    <mergeCell ref="B45:D45"/>
    <mergeCell ref="A46:D46"/>
    <mergeCell ref="A35:D35"/>
    <mergeCell ref="B36:D36"/>
    <mergeCell ref="F39:H39"/>
    <mergeCell ref="G40:I40"/>
    <mergeCell ref="A41:D41"/>
    <mergeCell ref="G41:I41"/>
    <mergeCell ref="B29:D29"/>
    <mergeCell ref="F29:I29"/>
    <mergeCell ref="A31:D31"/>
    <mergeCell ref="B32:C32"/>
    <mergeCell ref="B33:C33"/>
    <mergeCell ref="F33:I33"/>
    <mergeCell ref="A22:D22"/>
    <mergeCell ref="B23:D23"/>
    <mergeCell ref="B24:D24"/>
    <mergeCell ref="B25:D25"/>
    <mergeCell ref="B26:D26"/>
    <mergeCell ref="A28:D28"/>
    <mergeCell ref="B17:D17"/>
    <mergeCell ref="A19:D19"/>
    <mergeCell ref="B20:D20"/>
    <mergeCell ref="F20:I20"/>
    <mergeCell ref="B21:D21"/>
    <mergeCell ref="G21:I21"/>
    <mergeCell ref="A12:D12"/>
    <mergeCell ref="F12:I12"/>
    <mergeCell ref="A14:D14"/>
    <mergeCell ref="G14:I14"/>
    <mergeCell ref="F15:J15"/>
    <mergeCell ref="A16:D16"/>
    <mergeCell ref="F16:I16"/>
    <mergeCell ref="B4:B5"/>
    <mergeCell ref="C4:C5"/>
    <mergeCell ref="A6:E6"/>
    <mergeCell ref="A8:J9"/>
    <mergeCell ref="A10:E10"/>
    <mergeCell ref="F10:J10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O86"/>
  <sheetViews>
    <sheetView workbookViewId="0">
      <selection activeCell="E53" sqref="E5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67"/>
      <c r="C4" s="267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67"/>
      <c r="C5" s="267"/>
      <c r="D5" s="139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68"/>
      <c r="B6" s="269"/>
      <c r="C6" s="269"/>
      <c r="D6" s="269"/>
      <c r="E6" s="269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70" t="s">
        <v>83</v>
      </c>
      <c r="B8" s="271"/>
      <c r="C8" s="271"/>
      <c r="D8" s="271"/>
      <c r="E8" s="271"/>
      <c r="F8" s="271"/>
      <c r="G8" s="271"/>
      <c r="H8" s="271"/>
      <c r="I8" s="271"/>
      <c r="J8" s="272"/>
    </row>
    <row r="9" spans="1:14" ht="15" customHeight="1" thickBot="1" x14ac:dyDescent="0.25">
      <c r="A9" s="270"/>
      <c r="B9" s="271"/>
      <c r="C9" s="271"/>
      <c r="D9" s="271"/>
      <c r="E9" s="271"/>
      <c r="F9" s="271"/>
      <c r="G9" s="271"/>
      <c r="H9" s="271"/>
      <c r="I9" s="271"/>
      <c r="J9" s="272"/>
    </row>
    <row r="10" spans="1:14" s="17" customFormat="1" ht="25.5" customHeight="1" thickBot="1" x14ac:dyDescent="0.35">
      <c r="A10" s="273" t="s">
        <v>4</v>
      </c>
      <c r="B10" s="274"/>
      <c r="C10" s="274"/>
      <c r="D10" s="274"/>
      <c r="E10" s="274"/>
      <c r="F10" s="273" t="s">
        <v>5</v>
      </c>
      <c r="G10" s="274"/>
      <c r="H10" s="274"/>
      <c r="I10" s="274"/>
      <c r="J10" s="275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43" t="s">
        <v>6</v>
      </c>
      <c r="B12" s="244"/>
      <c r="C12" s="244"/>
      <c r="D12" s="244"/>
      <c r="E12" s="51">
        <f>SUM(E14+E16+E19+E22+E28+E31+E35)</f>
        <v>144177647.51000002</v>
      </c>
      <c r="F12" s="261" t="s">
        <v>7</v>
      </c>
      <c r="G12" s="262"/>
      <c r="H12" s="262"/>
      <c r="I12" s="262"/>
      <c r="J12" s="43">
        <f>J16+J20</f>
        <v>11145468.439999999</v>
      </c>
    </row>
    <row r="13" spans="1:14" s="19" customFormat="1" ht="15.75" x14ac:dyDescent="0.25">
      <c r="A13" s="137"/>
      <c r="B13" s="135"/>
      <c r="C13" s="135"/>
      <c r="D13" s="135"/>
      <c r="E13" s="52"/>
      <c r="F13" s="138"/>
      <c r="G13" s="133"/>
      <c r="H13" s="133"/>
      <c r="I13" s="133"/>
      <c r="J13" s="44"/>
    </row>
    <row r="14" spans="1:14" s="19" customFormat="1" ht="15.75" x14ac:dyDescent="0.25">
      <c r="A14" s="250" t="s">
        <v>8</v>
      </c>
      <c r="B14" s="251"/>
      <c r="C14" s="251"/>
      <c r="D14" s="251"/>
      <c r="E14" s="52">
        <v>41425.22</v>
      </c>
      <c r="F14" s="138"/>
      <c r="G14" s="263"/>
      <c r="H14" s="263"/>
      <c r="I14" s="263"/>
      <c r="J14" s="44"/>
    </row>
    <row r="15" spans="1:14" s="19" customFormat="1" ht="15.75" x14ac:dyDescent="0.25">
      <c r="A15" s="58"/>
      <c r="B15" s="135"/>
      <c r="C15" s="135"/>
      <c r="D15" s="135"/>
      <c r="E15" s="52"/>
      <c r="F15" s="264"/>
      <c r="G15" s="265"/>
      <c r="H15" s="265"/>
      <c r="I15" s="265"/>
      <c r="J15" s="266"/>
    </row>
    <row r="16" spans="1:14" s="19" customFormat="1" ht="15.75" x14ac:dyDescent="0.25">
      <c r="A16" s="250" t="s">
        <v>9</v>
      </c>
      <c r="B16" s="251"/>
      <c r="C16" s="251"/>
      <c r="D16" s="251"/>
      <c r="E16" s="51">
        <f>SUM(E17)</f>
        <v>31221394.329999998</v>
      </c>
      <c r="F16" s="258" t="s">
        <v>10</v>
      </c>
      <c r="G16" s="259"/>
      <c r="H16" s="259"/>
      <c r="I16" s="259"/>
      <c r="J16" s="45">
        <f>SUM(J17+J18)</f>
        <v>2436044.4000000004</v>
      </c>
    </row>
    <row r="17" spans="1:10" ht="15.75" x14ac:dyDescent="0.25">
      <c r="A17" s="58"/>
      <c r="B17" s="242" t="s">
        <v>11</v>
      </c>
      <c r="C17" s="242"/>
      <c r="D17" s="242"/>
      <c r="E17" s="52">
        <v>31221394.329999998</v>
      </c>
      <c r="F17" s="138"/>
      <c r="G17" s="132" t="s">
        <v>12</v>
      </c>
      <c r="H17" s="32" t="s">
        <v>63</v>
      </c>
      <c r="I17" s="32"/>
      <c r="J17" s="46">
        <v>1634928.6</v>
      </c>
    </row>
    <row r="18" spans="1:10" ht="15.75" x14ac:dyDescent="0.25">
      <c r="A18" s="58"/>
      <c r="B18" s="135"/>
      <c r="C18" s="135"/>
      <c r="D18" s="135"/>
      <c r="E18" s="52"/>
      <c r="F18" s="138"/>
      <c r="G18" s="132"/>
      <c r="H18" s="132" t="s">
        <v>12</v>
      </c>
      <c r="I18" s="32"/>
      <c r="J18" s="46">
        <v>801115.8</v>
      </c>
    </row>
    <row r="19" spans="1:10" ht="15.75" x14ac:dyDescent="0.25">
      <c r="A19" s="250" t="s">
        <v>13</v>
      </c>
      <c r="B19" s="251"/>
      <c r="C19" s="251"/>
      <c r="D19" s="251"/>
      <c r="E19" s="51">
        <f>SUM(E20)</f>
        <v>59895246.32</v>
      </c>
      <c r="F19" s="138"/>
      <c r="G19" s="133"/>
      <c r="H19" s="132"/>
      <c r="I19" s="133"/>
      <c r="J19" s="46"/>
    </row>
    <row r="20" spans="1:10" ht="15.75" x14ac:dyDescent="0.25">
      <c r="A20" s="58"/>
      <c r="B20" s="242" t="s">
        <v>14</v>
      </c>
      <c r="C20" s="242"/>
      <c r="D20" s="242"/>
      <c r="E20" s="52">
        <v>59895246.32</v>
      </c>
      <c r="F20" s="258" t="s">
        <v>15</v>
      </c>
      <c r="G20" s="259"/>
      <c r="H20" s="259"/>
      <c r="I20" s="259"/>
      <c r="J20" s="45">
        <f>SUM(J21:J23)</f>
        <v>8709424.0399999991</v>
      </c>
    </row>
    <row r="21" spans="1:10" ht="15.75" x14ac:dyDescent="0.25">
      <c r="A21" s="58"/>
      <c r="B21" s="244"/>
      <c r="C21" s="244"/>
      <c r="D21" s="244"/>
      <c r="E21" s="51"/>
      <c r="F21" s="47"/>
      <c r="G21" s="260" t="s">
        <v>16</v>
      </c>
      <c r="H21" s="260"/>
      <c r="I21" s="260"/>
      <c r="J21" s="46">
        <v>2577889.13</v>
      </c>
    </row>
    <row r="22" spans="1:10" ht="15.75" x14ac:dyDescent="0.25">
      <c r="A22" s="250" t="s">
        <v>17</v>
      </c>
      <c r="B22" s="251"/>
      <c r="C22" s="251"/>
      <c r="D22" s="251"/>
      <c r="E22" s="51">
        <f>E23+E24+E25+E26</f>
        <v>36001290.859999999</v>
      </c>
      <c r="F22" s="47"/>
      <c r="G22" s="132" t="s">
        <v>18</v>
      </c>
      <c r="H22" s="132" t="s">
        <v>18</v>
      </c>
      <c r="I22" s="132"/>
      <c r="J22" s="46">
        <v>700115.54</v>
      </c>
    </row>
    <row r="23" spans="1:10" ht="15.75" x14ac:dyDescent="0.25">
      <c r="A23" s="58"/>
      <c r="B23" s="242" t="s">
        <v>19</v>
      </c>
      <c r="C23" s="242"/>
      <c r="D23" s="242"/>
      <c r="E23" s="52">
        <v>26744380.460000001</v>
      </c>
      <c r="F23" s="47"/>
      <c r="G23" s="132" t="s">
        <v>20</v>
      </c>
      <c r="H23" s="132" t="s">
        <v>20</v>
      </c>
      <c r="I23" s="132"/>
      <c r="J23" s="46">
        <f>6971.26+5424448.11</f>
        <v>5431419.3700000001</v>
      </c>
    </row>
    <row r="24" spans="1:10" ht="15.75" x14ac:dyDescent="0.25">
      <c r="A24" s="58"/>
      <c r="B24" s="255" t="s">
        <v>21</v>
      </c>
      <c r="C24" s="255"/>
      <c r="D24" s="255"/>
      <c r="E24" s="52">
        <v>14314483.359999999</v>
      </c>
      <c r="F24" s="47"/>
      <c r="G24" s="133"/>
      <c r="H24" s="132"/>
      <c r="I24" s="20"/>
      <c r="J24" s="46"/>
    </row>
    <row r="25" spans="1:10" ht="15.75" x14ac:dyDescent="0.25">
      <c r="A25" s="60"/>
      <c r="B25" s="255" t="s">
        <v>66</v>
      </c>
      <c r="C25" s="255"/>
      <c r="D25" s="255"/>
      <c r="E25" s="52">
        <v>203446.85</v>
      </c>
      <c r="F25" s="48"/>
      <c r="G25" s="130"/>
      <c r="H25" s="130"/>
      <c r="I25" s="130"/>
      <c r="J25" s="49"/>
    </row>
    <row r="26" spans="1:10" ht="15.75" x14ac:dyDescent="0.25">
      <c r="A26" s="58"/>
      <c r="B26" s="255" t="s">
        <v>22</v>
      </c>
      <c r="C26" s="255"/>
      <c r="D26" s="255"/>
      <c r="E26" s="52">
        <v>-5261019.8099999996</v>
      </c>
      <c r="F26" s="48"/>
      <c r="G26" s="130"/>
      <c r="H26" s="130"/>
      <c r="I26" s="130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50" t="s">
        <v>23</v>
      </c>
      <c r="B28" s="251"/>
      <c r="C28" s="251"/>
      <c r="D28" s="251"/>
      <c r="E28" s="51">
        <f>E29</f>
        <v>16692706.91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55" t="s">
        <v>24</v>
      </c>
      <c r="C29" s="255"/>
      <c r="D29" s="255"/>
      <c r="E29" s="52">
        <f>22394626.64-5701919.73</f>
        <v>16692706.91</v>
      </c>
      <c r="F29" s="256" t="s">
        <v>25</v>
      </c>
      <c r="G29" s="257"/>
      <c r="H29" s="257"/>
      <c r="I29" s="257"/>
      <c r="J29" s="51">
        <f>J33</f>
        <v>21148249.879999999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50"/>
      <c r="B31" s="251"/>
      <c r="C31" s="251"/>
      <c r="D31" s="251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2"/>
      <c r="C32" s="242"/>
      <c r="D32" s="134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2"/>
      <c r="C33" s="242"/>
      <c r="D33" s="134"/>
      <c r="E33" s="66"/>
      <c r="F33" s="256" t="s">
        <v>10</v>
      </c>
      <c r="G33" s="257"/>
      <c r="H33" s="257"/>
      <c r="I33" s="257"/>
      <c r="J33" s="51">
        <f>SUM(J34+J35)</f>
        <v>21148249.879999999</v>
      </c>
    </row>
    <row r="34" spans="1:15" ht="15.75" x14ac:dyDescent="0.25">
      <c r="A34" s="58"/>
      <c r="B34" s="20"/>
      <c r="C34" s="136"/>
      <c r="D34" s="136"/>
      <c r="E34" s="52"/>
      <c r="F34" s="48"/>
      <c r="G34" s="21" t="s">
        <v>57</v>
      </c>
      <c r="H34" s="21" t="s">
        <v>57</v>
      </c>
      <c r="I34" s="21"/>
      <c r="J34" s="52">
        <v>16726220.84</v>
      </c>
    </row>
    <row r="35" spans="1:15" ht="15.75" x14ac:dyDescent="0.25">
      <c r="A35" s="250" t="s">
        <v>26</v>
      </c>
      <c r="B35" s="251"/>
      <c r="C35" s="251"/>
      <c r="D35" s="251"/>
      <c r="E35" s="51">
        <f>E36</f>
        <v>325583.87</v>
      </c>
      <c r="F35" s="67"/>
      <c r="G35" s="68"/>
      <c r="H35" s="21" t="s">
        <v>12</v>
      </c>
      <c r="I35" s="21"/>
      <c r="J35" s="52">
        <v>4422029.04</v>
      </c>
    </row>
    <row r="36" spans="1:15" ht="15.75" x14ac:dyDescent="0.25">
      <c r="A36" s="58"/>
      <c r="B36" s="255" t="s">
        <v>27</v>
      </c>
      <c r="C36" s="255"/>
      <c r="D36" s="255"/>
      <c r="E36" s="52">
        <v>325583.87</v>
      </c>
      <c r="F36" s="48"/>
      <c r="G36" s="21"/>
      <c r="H36" s="21"/>
      <c r="I36" s="21"/>
      <c r="J36" s="49"/>
    </row>
    <row r="37" spans="1:15" ht="15.75" x14ac:dyDescent="0.25">
      <c r="A37" s="58"/>
      <c r="B37" s="136"/>
      <c r="C37" s="136"/>
      <c r="D37" s="136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36"/>
      <c r="C38" s="136"/>
      <c r="D38" s="136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54418775.689999998</v>
      </c>
      <c r="F39" s="245" t="s">
        <v>29</v>
      </c>
      <c r="G39" s="246"/>
      <c r="H39" s="246"/>
      <c r="I39" s="21"/>
      <c r="J39" s="51">
        <f>SUM(J40:J42)</f>
        <v>169585291.75999999</v>
      </c>
    </row>
    <row r="40" spans="1:15" ht="15.75" x14ac:dyDescent="0.25">
      <c r="A40" s="62"/>
      <c r="B40" s="20"/>
      <c r="C40" s="20"/>
      <c r="D40" s="36"/>
      <c r="E40" s="51"/>
      <c r="F40" s="48"/>
      <c r="G40" s="254" t="s">
        <v>30</v>
      </c>
      <c r="H40" s="254"/>
      <c r="I40" s="254"/>
      <c r="J40" s="52">
        <v>163314977.75999999</v>
      </c>
    </row>
    <row r="41" spans="1:15" ht="15.75" x14ac:dyDescent="0.25">
      <c r="A41" s="250" t="s">
        <v>81</v>
      </c>
      <c r="B41" s="251"/>
      <c r="C41" s="251"/>
      <c r="D41" s="251"/>
      <c r="E41" s="51">
        <f>E42+E43+E44+E45</f>
        <v>48716855.960000001</v>
      </c>
      <c r="F41" s="48"/>
      <c r="G41" s="254" t="s">
        <v>32</v>
      </c>
      <c r="H41" s="254"/>
      <c r="I41" s="254"/>
      <c r="J41" s="52">
        <v>6270314</v>
      </c>
    </row>
    <row r="42" spans="1:15" ht="15.75" x14ac:dyDescent="0.25">
      <c r="A42" s="60"/>
      <c r="B42" s="242" t="s">
        <v>19</v>
      </c>
      <c r="C42" s="242"/>
      <c r="D42" s="242"/>
      <c r="E42" s="52">
        <v>13595546.279999999</v>
      </c>
      <c r="F42" s="48"/>
      <c r="G42" s="254"/>
      <c r="H42" s="254"/>
      <c r="I42" s="254"/>
      <c r="J42" s="52"/>
    </row>
    <row r="43" spans="1:15" ht="15.75" x14ac:dyDescent="0.25">
      <c r="A43" s="60"/>
      <c r="B43" s="255" t="s">
        <v>21</v>
      </c>
      <c r="C43" s="255"/>
      <c r="D43" s="255"/>
      <c r="E43" s="52">
        <v>36664331.509999998</v>
      </c>
      <c r="F43" s="48"/>
      <c r="G43" s="130"/>
      <c r="H43" s="130"/>
      <c r="I43" s="130"/>
      <c r="J43" s="49"/>
    </row>
    <row r="44" spans="1:15" ht="15.75" x14ac:dyDescent="0.25">
      <c r="A44" s="60"/>
      <c r="B44" s="255" t="s">
        <v>66</v>
      </c>
      <c r="C44" s="255"/>
      <c r="D44" s="255"/>
      <c r="E44" s="52">
        <v>1693522</v>
      </c>
      <c r="F44" s="48"/>
      <c r="G44" s="130"/>
      <c r="H44" s="130"/>
      <c r="I44" s="130"/>
      <c r="J44" s="49"/>
    </row>
    <row r="45" spans="1:15" ht="15.75" x14ac:dyDescent="0.25">
      <c r="A45" s="60"/>
      <c r="B45" s="255" t="s">
        <v>22</v>
      </c>
      <c r="C45" s="255"/>
      <c r="D45" s="255"/>
      <c r="E45" s="52">
        <v>-3236543.83</v>
      </c>
      <c r="F45" s="48"/>
      <c r="G45" s="21"/>
      <c r="H45" s="21"/>
      <c r="I45" s="21"/>
      <c r="J45" s="53"/>
    </row>
    <row r="46" spans="1:15" ht="15" customHeight="1" x14ac:dyDescent="0.25">
      <c r="A46" s="250"/>
      <c r="B46" s="251"/>
      <c r="C46" s="251"/>
      <c r="D46" s="251"/>
      <c r="E46" s="51"/>
      <c r="F46" s="50" t="s">
        <v>33</v>
      </c>
      <c r="G46" s="131"/>
      <c r="H46" s="131"/>
      <c r="I46" s="131"/>
      <c r="J46" s="51">
        <f>SUM(J49:J54)</f>
        <v>941416.04999999888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55"/>
      <c r="C47" s="255"/>
      <c r="D47" s="255"/>
      <c r="E47" s="52"/>
      <c r="F47" s="48"/>
      <c r="G47" s="254" t="s">
        <v>34</v>
      </c>
      <c r="H47" s="254"/>
      <c r="I47" s="254"/>
      <c r="J47" s="52">
        <v>11155142.77</v>
      </c>
      <c r="K47" s="48"/>
      <c r="L47" s="254"/>
      <c r="M47" s="254"/>
      <c r="N47" s="254"/>
      <c r="O47" s="83"/>
    </row>
    <row r="48" spans="1:15" ht="15.75" hidden="1" customHeight="1" x14ac:dyDescent="0.25">
      <c r="A48" s="60"/>
      <c r="B48" s="136"/>
      <c r="C48" s="136"/>
      <c r="D48" s="136"/>
      <c r="E48" s="52"/>
      <c r="F48" s="48"/>
      <c r="G48" s="254" t="s">
        <v>35</v>
      </c>
      <c r="H48" s="254"/>
      <c r="I48" s="254"/>
      <c r="J48" s="52">
        <v>-10361959.039999999</v>
      </c>
      <c r="K48" s="48"/>
      <c r="L48" s="130"/>
      <c r="M48" s="130"/>
      <c r="N48" s="130"/>
      <c r="O48" s="83"/>
    </row>
    <row r="49" spans="1:15" ht="15.75" x14ac:dyDescent="0.25">
      <c r="A49" s="60"/>
      <c r="B49" s="255"/>
      <c r="C49" s="255"/>
      <c r="D49" s="255"/>
      <c r="E49" s="52"/>
      <c r="F49" s="48"/>
      <c r="G49" s="254" t="s">
        <v>34</v>
      </c>
      <c r="H49" s="254"/>
      <c r="I49" s="254"/>
      <c r="J49" s="52">
        <v>15268872.77</v>
      </c>
      <c r="K49" s="50"/>
      <c r="L49" s="131"/>
      <c r="M49" s="131"/>
      <c r="N49" s="131"/>
      <c r="O49" s="84"/>
    </row>
    <row r="50" spans="1:15" ht="15.75" x14ac:dyDescent="0.25">
      <c r="A50" s="250" t="s">
        <v>23</v>
      </c>
      <c r="B50" s="251"/>
      <c r="C50" s="251"/>
      <c r="D50" s="251"/>
      <c r="E50" s="51">
        <f>E51+E52</f>
        <v>5701919.7300000004</v>
      </c>
      <c r="F50" s="48"/>
      <c r="G50" s="254" t="s">
        <v>73</v>
      </c>
      <c r="H50" s="254"/>
      <c r="I50" s="254"/>
      <c r="J50" s="52">
        <v>-14473456.220000001</v>
      </c>
      <c r="K50" s="48"/>
      <c r="L50" s="254"/>
      <c r="M50" s="254"/>
      <c r="N50" s="254"/>
      <c r="O50" s="85"/>
    </row>
    <row r="51" spans="1:15" ht="15.75" x14ac:dyDescent="0.25">
      <c r="A51" s="60"/>
      <c r="B51" s="255" t="s">
        <v>58</v>
      </c>
      <c r="C51" s="255"/>
      <c r="D51" s="255"/>
      <c r="E51" s="52">
        <v>5701919.7300000004</v>
      </c>
      <c r="F51" s="48"/>
      <c r="G51" s="254" t="s">
        <v>36</v>
      </c>
      <c r="H51" s="254"/>
      <c r="I51" s="254"/>
      <c r="J51" s="52">
        <v>0</v>
      </c>
      <c r="K51" s="48"/>
      <c r="L51" s="254"/>
      <c r="M51" s="254"/>
      <c r="N51" s="254"/>
      <c r="O51" s="85"/>
    </row>
    <row r="52" spans="1:15" ht="15.75" x14ac:dyDescent="0.25">
      <c r="A52" s="60"/>
      <c r="B52" s="255"/>
      <c r="C52" s="255"/>
      <c r="D52" s="255"/>
      <c r="E52" s="52"/>
      <c r="F52" s="48"/>
      <c r="G52" s="254" t="s">
        <v>74</v>
      </c>
      <c r="H52" s="254"/>
      <c r="I52" s="254"/>
      <c r="J52" s="52">
        <v>-16941.740000000002</v>
      </c>
      <c r="K52" s="48"/>
      <c r="L52" s="254"/>
      <c r="M52" s="254"/>
      <c r="N52" s="254"/>
      <c r="O52" s="85"/>
    </row>
    <row r="53" spans="1:15" s="19" customFormat="1" ht="15.75" x14ac:dyDescent="0.25">
      <c r="A53" s="243" t="s">
        <v>37</v>
      </c>
      <c r="B53" s="244"/>
      <c r="C53" s="244"/>
      <c r="D53" s="244"/>
      <c r="E53" s="51">
        <f>SUM(E54+E58+E61+E64)</f>
        <v>6229431.6900000004</v>
      </c>
      <c r="F53" s="48"/>
      <c r="G53" s="254" t="s">
        <v>38</v>
      </c>
      <c r="H53" s="254"/>
      <c r="I53" s="254"/>
      <c r="J53" s="52">
        <v>106338.27</v>
      </c>
    </row>
    <row r="54" spans="1:15" ht="15.75" x14ac:dyDescent="0.25">
      <c r="A54" s="250" t="s">
        <v>67</v>
      </c>
      <c r="B54" s="251"/>
      <c r="C54" s="251"/>
      <c r="D54" s="251"/>
      <c r="E54" s="51">
        <f>E55+E56+E57</f>
        <v>3970167.54</v>
      </c>
      <c r="F54" s="48"/>
      <c r="G54" s="254" t="s">
        <v>39</v>
      </c>
      <c r="H54" s="254"/>
      <c r="I54" s="254"/>
      <c r="J54" s="52">
        <v>56602.97</v>
      </c>
    </row>
    <row r="55" spans="1:15" ht="15.75" x14ac:dyDescent="0.25">
      <c r="A55" s="58"/>
      <c r="B55" s="242" t="s">
        <v>68</v>
      </c>
      <c r="C55" s="242"/>
      <c r="D55" s="242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2" t="s">
        <v>69</v>
      </c>
      <c r="C56" s="242"/>
      <c r="D56" s="242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2" t="s">
        <v>40</v>
      </c>
      <c r="C57" s="242"/>
      <c r="D57" s="242"/>
      <c r="E57" s="52">
        <v>-319096.2</v>
      </c>
      <c r="F57" s="48"/>
      <c r="G57" s="21"/>
      <c r="H57" s="21"/>
      <c r="I57" s="21"/>
      <c r="J57" s="49"/>
    </row>
    <row r="58" spans="1:15" ht="15.75" x14ac:dyDescent="0.25">
      <c r="A58" s="250" t="s">
        <v>70</v>
      </c>
      <c r="B58" s="251"/>
      <c r="C58" s="251"/>
      <c r="D58" s="251"/>
      <c r="E58" s="51">
        <f>E59+E60</f>
        <v>539796.20000000019</v>
      </c>
      <c r="F58" s="48"/>
      <c r="G58" s="254"/>
      <c r="H58" s="254"/>
      <c r="I58" s="254"/>
      <c r="J58" s="52"/>
    </row>
    <row r="59" spans="1:15" ht="15.75" x14ac:dyDescent="0.25">
      <c r="A59" s="58"/>
      <c r="B59" s="242" t="s">
        <v>71</v>
      </c>
      <c r="C59" s="242"/>
      <c r="D59" s="242"/>
      <c r="E59" s="52">
        <f>355449.52+47989.4+138987.66+1949.6+651+24476.55+600332.91+24236.8+387021.3</f>
        <v>1581094.7400000002</v>
      </c>
      <c r="F59" s="48"/>
      <c r="G59" s="130"/>
      <c r="H59" s="130"/>
      <c r="I59" s="130"/>
      <c r="J59" s="49"/>
    </row>
    <row r="60" spans="1:15" ht="15.75" x14ac:dyDescent="0.25">
      <c r="A60" s="58"/>
      <c r="B60" s="242" t="s">
        <v>40</v>
      </c>
      <c r="C60" s="242"/>
      <c r="D60" s="242"/>
      <c r="E60" s="52">
        <f>-333525.3-707773.24</f>
        <v>-1041298.54</v>
      </c>
      <c r="F60" s="48"/>
      <c r="G60" s="130"/>
      <c r="H60" s="130"/>
      <c r="I60" s="130"/>
      <c r="J60" s="49"/>
    </row>
    <row r="61" spans="1:15" ht="15.75" x14ac:dyDescent="0.25">
      <c r="A61" s="250" t="s">
        <v>75</v>
      </c>
      <c r="B61" s="251"/>
      <c r="C61" s="251"/>
      <c r="D61" s="251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42" t="s">
        <v>42</v>
      </c>
      <c r="C62" s="242"/>
      <c r="D62" s="242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2" t="s">
        <v>41</v>
      </c>
      <c r="C63" s="242"/>
      <c r="D63" s="242"/>
      <c r="E63" s="52">
        <v>-71568.17</v>
      </c>
      <c r="F63" s="48"/>
      <c r="G63" s="130"/>
      <c r="H63" s="130"/>
      <c r="I63" s="130"/>
      <c r="J63" s="49"/>
    </row>
    <row r="64" spans="1:15" ht="15.75" x14ac:dyDescent="0.25">
      <c r="A64" s="252" t="s">
        <v>76</v>
      </c>
      <c r="B64" s="253"/>
      <c r="C64" s="253"/>
      <c r="D64" s="253"/>
      <c r="E64" s="51">
        <f>E65+E66</f>
        <v>1717708.32</v>
      </c>
      <c r="F64" s="48"/>
      <c r="G64" s="130"/>
      <c r="H64" s="254"/>
      <c r="I64" s="254"/>
      <c r="J64" s="49"/>
    </row>
    <row r="65" spans="1:12" ht="15.75" x14ac:dyDescent="0.25">
      <c r="A65" s="58"/>
      <c r="B65" s="242" t="s">
        <v>56</v>
      </c>
      <c r="C65" s="242"/>
      <c r="D65" s="242"/>
      <c r="E65" s="52">
        <f>2319674.58+10830</f>
        <v>2330504.58</v>
      </c>
      <c r="F65" s="48"/>
      <c r="G65" s="130"/>
      <c r="H65" s="130"/>
      <c r="I65" s="130"/>
      <c r="J65" s="49"/>
    </row>
    <row r="66" spans="1:12" ht="15.75" x14ac:dyDescent="0.25">
      <c r="A66" s="58"/>
      <c r="B66" s="242" t="s">
        <v>41</v>
      </c>
      <c r="C66" s="242"/>
      <c r="D66" s="242"/>
      <c r="E66" s="52">
        <v>-612796.26</v>
      </c>
      <c r="F66" s="48"/>
      <c r="G66" s="130"/>
      <c r="H66" s="130"/>
      <c r="I66" s="130"/>
      <c r="J66" s="49"/>
    </row>
    <row r="67" spans="1:12" s="19" customFormat="1" ht="24" customHeight="1" x14ac:dyDescent="0.25">
      <c r="A67" s="243" t="s">
        <v>82</v>
      </c>
      <c r="B67" s="244"/>
      <c r="C67" s="244"/>
      <c r="D67" s="244"/>
      <c r="E67" s="51">
        <f>E53+E39+E12</f>
        <v>204825854.89000002</v>
      </c>
      <c r="F67" s="245" t="s">
        <v>44</v>
      </c>
      <c r="G67" s="246"/>
      <c r="H67" s="246"/>
      <c r="I67" s="246"/>
      <c r="J67" s="51">
        <f>J39+J12+J29+J46</f>
        <v>202820426.13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7" t="s">
        <v>45</v>
      </c>
      <c r="B71" s="248"/>
      <c r="C71" s="248"/>
      <c r="D71" s="248"/>
      <c r="E71" s="248"/>
      <c r="F71" s="248" t="s">
        <v>46</v>
      </c>
      <c r="G71" s="248"/>
      <c r="H71" s="248"/>
      <c r="I71" s="248"/>
      <c r="J71" s="249"/>
    </row>
    <row r="72" spans="1:12" ht="15.75" x14ac:dyDescent="0.25">
      <c r="A72" s="231" t="s">
        <v>61</v>
      </c>
      <c r="B72" s="232"/>
      <c r="C72" s="232"/>
      <c r="D72" s="232"/>
      <c r="E72" s="232"/>
      <c r="F72" s="241"/>
      <c r="G72" s="241"/>
      <c r="H72" s="241"/>
      <c r="I72" s="241"/>
      <c r="J72" s="25"/>
    </row>
    <row r="73" spans="1:12" ht="15.75" x14ac:dyDescent="0.25">
      <c r="A73" s="231" t="s">
        <v>59</v>
      </c>
      <c r="B73" s="232"/>
      <c r="C73" s="232"/>
      <c r="D73" s="232"/>
      <c r="E73" s="232"/>
      <c r="F73" s="232" t="s">
        <v>47</v>
      </c>
      <c r="G73" s="232"/>
      <c r="H73" s="232"/>
      <c r="I73" s="232"/>
      <c r="J73" s="233"/>
    </row>
    <row r="74" spans="1:12" s="7" customFormat="1" ht="15.75" x14ac:dyDescent="0.25">
      <c r="A74" s="231" t="s">
        <v>62</v>
      </c>
      <c r="B74" s="232"/>
      <c r="C74" s="232"/>
      <c r="D74" s="232"/>
      <c r="E74" s="232"/>
      <c r="F74" s="232" t="s">
        <v>48</v>
      </c>
      <c r="G74" s="232"/>
      <c r="H74" s="232"/>
      <c r="I74" s="232"/>
      <c r="J74" s="233"/>
      <c r="K74" s="26"/>
    </row>
    <row r="75" spans="1:12" ht="15.75" x14ac:dyDescent="0.25">
      <c r="A75" s="231" t="s">
        <v>49</v>
      </c>
      <c r="B75" s="232"/>
      <c r="C75" s="232"/>
      <c r="D75" s="232"/>
      <c r="E75" s="232"/>
      <c r="F75" s="232" t="s">
        <v>50</v>
      </c>
      <c r="G75" s="232"/>
      <c r="H75" s="232"/>
      <c r="I75" s="232"/>
      <c r="J75" s="233"/>
    </row>
    <row r="76" spans="1:12" s="7" customFormat="1" ht="15.75" x14ac:dyDescent="0.25">
      <c r="A76" s="231" t="s">
        <v>64</v>
      </c>
      <c r="B76" s="232"/>
      <c r="C76" s="232"/>
      <c r="D76" s="232"/>
      <c r="E76" s="232"/>
      <c r="F76" s="237"/>
      <c r="G76" s="237"/>
      <c r="H76" s="237"/>
      <c r="I76" s="237"/>
      <c r="J76" s="238"/>
    </row>
    <row r="77" spans="1:12" ht="15.75" x14ac:dyDescent="0.25">
      <c r="A77" s="231" t="s">
        <v>65</v>
      </c>
      <c r="B77" s="232"/>
      <c r="C77" s="232"/>
      <c r="D77" s="232"/>
      <c r="E77" s="232"/>
      <c r="F77" s="239" t="s">
        <v>51</v>
      </c>
      <c r="G77" s="239"/>
      <c r="H77" s="239"/>
      <c r="I77" s="239"/>
      <c r="J77" s="240"/>
    </row>
    <row r="78" spans="1:12" ht="15.75" x14ac:dyDescent="0.25">
      <c r="A78" s="231" t="s">
        <v>60</v>
      </c>
      <c r="B78" s="232"/>
      <c r="C78" s="232"/>
      <c r="D78" s="232"/>
      <c r="E78" s="232"/>
      <c r="F78" s="232" t="s">
        <v>52</v>
      </c>
      <c r="G78" s="232"/>
      <c r="H78" s="232"/>
      <c r="I78" s="232"/>
      <c r="J78" s="233"/>
    </row>
    <row r="79" spans="1:12" ht="16.5" thickBot="1" x14ac:dyDescent="0.3">
      <c r="A79" s="234" t="s">
        <v>53</v>
      </c>
      <c r="B79" s="235"/>
      <c r="C79" s="235"/>
      <c r="D79" s="235"/>
      <c r="E79" s="235"/>
      <c r="F79" s="235" t="s">
        <v>54</v>
      </c>
      <c r="G79" s="235"/>
      <c r="H79" s="235"/>
      <c r="I79" s="235"/>
      <c r="J79" s="236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abSelected="1" zoomScale="85" zoomScaleNormal="85" workbookViewId="0">
      <selection activeCell="M19" sqref="M19"/>
    </sheetView>
  </sheetViews>
  <sheetFormatPr defaultRowHeight="12.75" x14ac:dyDescent="0.2"/>
  <cols>
    <col min="1" max="1" width="5.28515625" style="5" customWidth="1"/>
    <col min="2" max="2" width="4.85546875" style="7" customWidth="1"/>
    <col min="3" max="3" width="11.42578125" style="5" customWidth="1"/>
    <col min="4" max="4" width="10.85546875" style="5" customWidth="1"/>
    <col min="5" max="5" width="18.140625" style="27" customWidth="1"/>
    <col min="6" max="6" width="25" style="27" customWidth="1"/>
    <col min="7" max="7" width="10.42578125" style="5" customWidth="1"/>
    <col min="8" max="8" width="0.140625" style="5" hidden="1" customWidth="1"/>
    <col min="9" max="9" width="24" style="5" customWidth="1"/>
    <col min="10" max="10" width="19.140625" style="27" customWidth="1"/>
    <col min="11" max="11" width="15.140625" style="28" customWidth="1"/>
    <col min="12" max="13" width="11.5703125" style="5" customWidth="1"/>
    <col min="14" max="14" width="11.140625" style="5" customWidth="1"/>
    <col min="15" max="16384" width="9.140625" style="5"/>
  </cols>
  <sheetData>
    <row r="1" spans="1:14" x14ac:dyDescent="0.2">
      <c r="B1" s="203"/>
      <c r="C1" s="204"/>
      <c r="D1" s="204"/>
      <c r="E1" s="205"/>
      <c r="F1" s="205"/>
      <c r="G1" s="204"/>
      <c r="H1" s="204"/>
      <c r="I1" s="204"/>
      <c r="J1" s="205"/>
      <c r="K1" s="206"/>
    </row>
    <row r="2" spans="1:14" ht="21" x14ac:dyDescent="0.35">
      <c r="B2" s="207"/>
      <c r="C2" s="143"/>
      <c r="D2" s="144"/>
      <c r="E2" s="145"/>
      <c r="F2" s="146" t="s">
        <v>0</v>
      </c>
      <c r="G2" s="147"/>
      <c r="H2" s="147"/>
      <c r="I2" s="147"/>
      <c r="J2" s="147"/>
      <c r="K2" s="208"/>
      <c r="L2" s="10"/>
      <c r="M2" s="10"/>
      <c r="N2" s="10"/>
    </row>
    <row r="3" spans="1:14" x14ac:dyDescent="0.2">
      <c r="B3" s="207"/>
      <c r="C3" s="144"/>
      <c r="D3" s="144"/>
      <c r="E3" s="145"/>
      <c r="F3" s="148" t="s">
        <v>1</v>
      </c>
      <c r="G3" s="149"/>
      <c r="H3" s="149"/>
      <c r="I3" s="149"/>
      <c r="J3" s="149"/>
      <c r="K3" s="209"/>
      <c r="L3" s="13"/>
      <c r="M3" s="13"/>
      <c r="N3" s="13"/>
    </row>
    <row r="4" spans="1:14" x14ac:dyDescent="0.2">
      <c r="B4" s="207"/>
      <c r="C4" s="276"/>
      <c r="D4" s="276"/>
      <c r="E4" s="210"/>
      <c r="F4" s="148" t="s">
        <v>2</v>
      </c>
      <c r="G4" s="149"/>
      <c r="H4" s="149"/>
      <c r="I4" s="149"/>
      <c r="J4" s="149"/>
      <c r="K4" s="209"/>
      <c r="L4" s="13"/>
      <c r="M4" s="13"/>
      <c r="N4" s="13"/>
    </row>
    <row r="5" spans="1:14" ht="15" x14ac:dyDescent="0.25">
      <c r="B5" s="211"/>
      <c r="C5" s="276"/>
      <c r="D5" s="276"/>
      <c r="E5" s="226"/>
      <c r="F5" s="148" t="s">
        <v>3</v>
      </c>
      <c r="G5" s="149"/>
      <c r="H5" s="149"/>
      <c r="I5" s="149"/>
      <c r="J5" s="149"/>
      <c r="K5" s="209"/>
      <c r="L5" s="13"/>
      <c r="M5" s="13"/>
      <c r="N5" s="13"/>
    </row>
    <row r="6" spans="1:14" ht="15.75" customHeight="1" x14ac:dyDescent="0.2">
      <c r="B6" s="277"/>
      <c r="C6" s="278"/>
      <c r="D6" s="278"/>
      <c r="E6" s="278"/>
      <c r="F6" s="278"/>
      <c r="G6" s="144"/>
      <c r="H6" s="144"/>
      <c r="I6" s="144"/>
      <c r="J6" s="145"/>
      <c r="K6" s="212"/>
    </row>
    <row r="7" spans="1:14" ht="20.25" customHeight="1" x14ac:dyDescent="0.2">
      <c r="B7" s="279" t="s">
        <v>102</v>
      </c>
      <c r="C7" s="280"/>
      <c r="D7" s="280"/>
      <c r="E7" s="280"/>
      <c r="F7" s="280"/>
      <c r="G7" s="280"/>
      <c r="H7" s="280"/>
      <c r="I7" s="280"/>
      <c r="J7" s="280"/>
      <c r="K7" s="281"/>
    </row>
    <row r="8" spans="1:14" ht="15" customHeight="1" thickBot="1" x14ac:dyDescent="0.25">
      <c r="B8" s="279"/>
      <c r="C8" s="280"/>
      <c r="D8" s="280"/>
      <c r="E8" s="280"/>
      <c r="F8" s="280"/>
      <c r="G8" s="280"/>
      <c r="H8" s="280"/>
      <c r="I8" s="280"/>
      <c r="J8" s="280"/>
      <c r="K8" s="281"/>
    </row>
    <row r="9" spans="1:14" s="17" customFormat="1" ht="25.5" customHeight="1" thickBot="1" x14ac:dyDescent="0.35">
      <c r="B9" s="282" t="s">
        <v>4</v>
      </c>
      <c r="C9" s="283"/>
      <c r="D9" s="283"/>
      <c r="E9" s="283"/>
      <c r="F9" s="283"/>
      <c r="G9" s="282" t="s">
        <v>5</v>
      </c>
      <c r="H9" s="283"/>
      <c r="I9" s="283"/>
      <c r="J9" s="283"/>
      <c r="K9" s="284"/>
    </row>
    <row r="10" spans="1:14" s="18" customFormat="1" ht="19.5" customHeight="1" x14ac:dyDescent="0.25">
      <c r="B10" s="150"/>
      <c r="C10" s="151"/>
      <c r="D10" s="151"/>
      <c r="E10" s="151"/>
      <c r="F10" s="200"/>
      <c r="G10" s="40"/>
      <c r="H10" s="41"/>
      <c r="I10" s="41"/>
      <c r="J10" s="41"/>
      <c r="K10" s="42"/>
    </row>
    <row r="11" spans="1:14" s="19" customFormat="1" ht="15.75" x14ac:dyDescent="0.25">
      <c r="B11" s="285" t="s">
        <v>6</v>
      </c>
      <c r="C11" s="286"/>
      <c r="D11" s="286"/>
      <c r="E11" s="286"/>
      <c r="F11" s="172">
        <f>SUM(F13+F15+F18+F21+F27+F30+F33)</f>
        <v>187645</v>
      </c>
      <c r="G11" s="261" t="s">
        <v>7</v>
      </c>
      <c r="H11" s="262"/>
      <c r="I11" s="262"/>
      <c r="J11" s="262"/>
      <c r="K11" s="44">
        <f>K15+K20</f>
        <v>22214</v>
      </c>
    </row>
    <row r="12" spans="1:14" s="19" customFormat="1" ht="15.75" x14ac:dyDescent="0.25">
      <c r="B12" s="152"/>
      <c r="C12" s="153"/>
      <c r="D12" s="153"/>
      <c r="E12" s="153"/>
      <c r="F12" s="172"/>
      <c r="G12" s="224"/>
      <c r="H12" s="225"/>
      <c r="I12" s="192"/>
      <c r="J12" s="225"/>
      <c r="K12" s="44"/>
    </row>
    <row r="13" spans="1:14" s="19" customFormat="1" ht="15.75" x14ac:dyDescent="0.25">
      <c r="A13" s="230"/>
      <c r="B13" s="288" t="s">
        <v>8</v>
      </c>
      <c r="C13" s="288"/>
      <c r="D13" s="288"/>
      <c r="E13" s="288"/>
      <c r="F13" s="218">
        <v>32</v>
      </c>
      <c r="G13" s="224"/>
      <c r="H13" s="263"/>
      <c r="I13" s="263"/>
      <c r="J13" s="263"/>
      <c r="K13" s="44"/>
    </row>
    <row r="14" spans="1:14" s="19" customFormat="1" ht="15.75" x14ac:dyDescent="0.25">
      <c r="B14" s="154"/>
      <c r="C14" s="153"/>
      <c r="D14" s="153"/>
      <c r="E14" s="153"/>
      <c r="F14" s="172"/>
      <c r="G14" s="264"/>
      <c r="H14" s="265"/>
      <c r="I14" s="265"/>
      <c r="J14" s="265"/>
      <c r="K14" s="266"/>
    </row>
    <row r="15" spans="1:14" s="19" customFormat="1" ht="15.75" x14ac:dyDescent="0.25">
      <c r="B15" s="287"/>
      <c r="C15" s="288"/>
      <c r="D15" s="288"/>
      <c r="E15" s="288"/>
      <c r="F15" s="172"/>
      <c r="G15" s="258" t="s">
        <v>10</v>
      </c>
      <c r="H15" s="259"/>
      <c r="I15" s="259"/>
      <c r="J15" s="259"/>
      <c r="K15" s="173">
        <f>SUM(K16+K17+K18)</f>
        <v>8306</v>
      </c>
      <c r="M15" s="142"/>
    </row>
    <row r="16" spans="1:14" ht="15.75" x14ac:dyDescent="0.25">
      <c r="B16" s="154"/>
      <c r="C16" s="289"/>
      <c r="D16" s="289"/>
      <c r="E16" s="289"/>
      <c r="F16" s="172"/>
      <c r="G16" s="224"/>
      <c r="H16" s="186" t="s">
        <v>12</v>
      </c>
      <c r="I16" s="32" t="s">
        <v>63</v>
      </c>
      <c r="J16" s="32"/>
      <c r="K16" s="215">
        <v>5602</v>
      </c>
    </row>
    <row r="17" spans="2:14" ht="15.75" x14ac:dyDescent="0.25">
      <c r="B17" s="154"/>
      <c r="C17" s="153"/>
      <c r="D17" s="153"/>
      <c r="E17" s="153"/>
      <c r="F17" s="172"/>
      <c r="G17" s="224"/>
      <c r="H17" s="186"/>
      <c r="I17" s="186" t="s">
        <v>12</v>
      </c>
      <c r="J17" s="32"/>
      <c r="K17" s="215">
        <v>2404</v>
      </c>
    </row>
    <row r="18" spans="2:14" ht="15.75" x14ac:dyDescent="0.25">
      <c r="B18" s="287" t="s">
        <v>13</v>
      </c>
      <c r="C18" s="288"/>
      <c r="D18" s="288"/>
      <c r="E18" s="288"/>
      <c r="F18" s="172">
        <f>SUM(F19)</f>
        <v>106052</v>
      </c>
      <c r="G18" s="224"/>
      <c r="H18" s="225"/>
      <c r="I18" s="186" t="s">
        <v>84</v>
      </c>
      <c r="J18" s="225"/>
      <c r="K18" s="215">
        <v>300</v>
      </c>
    </row>
    <row r="19" spans="2:14" ht="15.75" x14ac:dyDescent="0.25">
      <c r="B19" s="154"/>
      <c r="C19" s="289" t="s">
        <v>14</v>
      </c>
      <c r="D19" s="289"/>
      <c r="E19" s="289"/>
      <c r="F19" s="219">
        <v>106052</v>
      </c>
      <c r="G19" s="224"/>
      <c r="H19" s="225"/>
      <c r="I19" s="186"/>
      <c r="J19" s="225"/>
      <c r="K19" s="174"/>
      <c r="M19" s="116"/>
    </row>
    <row r="20" spans="2:14" ht="15.75" x14ac:dyDescent="0.25">
      <c r="B20" s="154"/>
      <c r="C20" s="286"/>
      <c r="D20" s="286"/>
      <c r="E20" s="286"/>
      <c r="F20" s="177"/>
      <c r="G20" s="258" t="s">
        <v>15</v>
      </c>
      <c r="H20" s="259"/>
      <c r="I20" s="259"/>
      <c r="J20" s="259"/>
      <c r="K20" s="173">
        <f>SUM(K21:K23)</f>
        <v>13908</v>
      </c>
      <c r="M20" s="141"/>
    </row>
    <row r="21" spans="2:14" ht="15.75" x14ac:dyDescent="0.25">
      <c r="B21" s="287" t="s">
        <v>17</v>
      </c>
      <c r="C21" s="288"/>
      <c r="D21" s="288"/>
      <c r="E21" s="288"/>
      <c r="F21" s="172">
        <f>F22+F23+F24+F25</f>
        <v>42842</v>
      </c>
      <c r="G21" s="47"/>
      <c r="H21" s="260" t="s">
        <v>16</v>
      </c>
      <c r="I21" s="260"/>
      <c r="J21" s="260"/>
      <c r="K21" s="216">
        <v>5700</v>
      </c>
      <c r="M21" s="140"/>
      <c r="N21" s="140"/>
    </row>
    <row r="22" spans="2:14" ht="15.75" x14ac:dyDescent="0.25">
      <c r="B22" s="154"/>
      <c r="C22" s="289" t="s">
        <v>19</v>
      </c>
      <c r="D22" s="289"/>
      <c r="E22" s="289"/>
      <c r="F22" s="219">
        <v>5332</v>
      </c>
      <c r="G22" s="47"/>
      <c r="H22" s="186" t="s">
        <v>18</v>
      </c>
      <c r="I22" s="186" t="s">
        <v>18</v>
      </c>
      <c r="J22" s="186"/>
      <c r="K22" s="216">
        <v>1292</v>
      </c>
      <c r="M22" s="140"/>
      <c r="N22"/>
    </row>
    <row r="23" spans="2:14" ht="15.75" x14ac:dyDescent="0.25">
      <c r="B23" s="154"/>
      <c r="C23" s="290" t="s">
        <v>21</v>
      </c>
      <c r="D23" s="290"/>
      <c r="E23" s="290"/>
      <c r="F23" s="219">
        <v>37900</v>
      </c>
      <c r="G23" s="47"/>
      <c r="H23" s="186" t="s">
        <v>20</v>
      </c>
      <c r="I23" s="186" t="s">
        <v>20</v>
      </c>
      <c r="J23" s="186"/>
      <c r="K23" s="217">
        <v>6916</v>
      </c>
      <c r="N23" s="140"/>
    </row>
    <row r="24" spans="2:14" ht="15.75" x14ac:dyDescent="0.25">
      <c r="B24" s="158"/>
      <c r="C24" s="290" t="s">
        <v>66</v>
      </c>
      <c r="D24" s="290"/>
      <c r="E24" s="290"/>
      <c r="F24" s="219">
        <v>2799</v>
      </c>
      <c r="G24" s="48"/>
      <c r="H24" s="223"/>
      <c r="I24" s="223"/>
      <c r="J24" s="223"/>
      <c r="K24" s="174"/>
      <c r="M24" s="140"/>
    </row>
    <row r="25" spans="2:14" ht="15.75" x14ac:dyDescent="0.25">
      <c r="B25" s="154"/>
      <c r="C25" s="290" t="s">
        <v>22</v>
      </c>
      <c r="D25" s="290"/>
      <c r="E25" s="290"/>
      <c r="F25" s="219">
        <v>-3189</v>
      </c>
      <c r="G25" s="48"/>
      <c r="H25" s="223"/>
      <c r="I25" s="223"/>
      <c r="J25" s="223"/>
      <c r="K25" s="179"/>
    </row>
    <row r="26" spans="2:14" ht="15.75" x14ac:dyDescent="0.25">
      <c r="B26" s="154"/>
      <c r="C26" s="157"/>
      <c r="D26" s="157"/>
      <c r="E26" s="159"/>
      <c r="F26" s="178"/>
      <c r="G26" s="48"/>
      <c r="H26" s="21"/>
      <c r="I26" s="21"/>
      <c r="J26" s="21"/>
      <c r="K26" s="179"/>
      <c r="M26" s="141"/>
    </row>
    <row r="27" spans="2:14" ht="15.75" x14ac:dyDescent="0.25">
      <c r="B27" s="287" t="s">
        <v>23</v>
      </c>
      <c r="C27" s="288"/>
      <c r="D27" s="288"/>
      <c r="E27" s="288"/>
      <c r="F27" s="172">
        <f>F28+F29</f>
        <v>30201</v>
      </c>
      <c r="G27" s="50" t="s">
        <v>55</v>
      </c>
      <c r="H27" s="21"/>
      <c r="I27" s="21"/>
      <c r="J27" s="21"/>
      <c r="K27" s="191">
        <f>K28+K38+K50</f>
        <v>224590</v>
      </c>
      <c r="M27" s="116"/>
    </row>
    <row r="28" spans="2:14" ht="16.5" x14ac:dyDescent="0.25">
      <c r="B28" s="154"/>
      <c r="C28" s="290" t="s">
        <v>24</v>
      </c>
      <c r="D28" s="290"/>
      <c r="E28" s="290"/>
      <c r="F28" s="219">
        <v>30201</v>
      </c>
      <c r="G28" s="256" t="s">
        <v>25</v>
      </c>
      <c r="H28" s="257"/>
      <c r="I28" s="257"/>
      <c r="J28" s="257"/>
      <c r="K28" s="175">
        <f>K32</f>
        <v>33417</v>
      </c>
      <c r="M28" s="116"/>
    </row>
    <row r="29" spans="2:14" ht="15.75" x14ac:dyDescent="0.25">
      <c r="B29" s="154"/>
      <c r="C29" s="157" t="s">
        <v>85</v>
      </c>
      <c r="D29" s="157"/>
      <c r="E29" s="159"/>
      <c r="F29" s="171">
        <v>0</v>
      </c>
      <c r="G29" s="48"/>
      <c r="H29" s="21"/>
      <c r="I29" s="21"/>
      <c r="J29" s="21"/>
      <c r="K29" s="176"/>
    </row>
    <row r="30" spans="2:14" ht="15.75" hidden="1" x14ac:dyDescent="0.25">
      <c r="B30" s="287"/>
      <c r="C30" s="288"/>
      <c r="D30" s="288"/>
      <c r="E30" s="288"/>
      <c r="F30" s="178"/>
      <c r="G30" s="48"/>
      <c r="H30" s="21"/>
      <c r="I30" s="21"/>
      <c r="J30" s="21"/>
      <c r="K30" s="176"/>
    </row>
    <row r="31" spans="2:14" ht="15.75" hidden="1" x14ac:dyDescent="0.25">
      <c r="B31" s="160"/>
      <c r="C31" s="289"/>
      <c r="D31" s="289"/>
      <c r="E31" s="155"/>
      <c r="F31" s="178"/>
      <c r="G31" s="67"/>
      <c r="H31" s="68"/>
      <c r="I31" s="68"/>
      <c r="J31" s="68"/>
      <c r="K31" s="176"/>
    </row>
    <row r="32" spans="2:14" ht="15.75" x14ac:dyDescent="0.25">
      <c r="B32" s="160"/>
      <c r="C32" s="289"/>
      <c r="D32" s="289"/>
      <c r="E32" s="155"/>
      <c r="F32" s="178"/>
      <c r="G32" s="256" t="s">
        <v>10</v>
      </c>
      <c r="H32" s="257"/>
      <c r="I32" s="257"/>
      <c r="J32" s="257"/>
      <c r="K32" s="175">
        <f>SUM(K33+K34+K35+K36)</f>
        <v>33417</v>
      </c>
      <c r="M32" s="116"/>
    </row>
    <row r="33" spans="2:12" ht="15.75" x14ac:dyDescent="0.25">
      <c r="B33" s="188" t="s">
        <v>26</v>
      </c>
      <c r="C33" s="189"/>
      <c r="D33" s="189"/>
      <c r="E33" s="189"/>
      <c r="F33" s="172">
        <f>F34+F35</f>
        <v>8518</v>
      </c>
      <c r="G33" s="48"/>
      <c r="H33" s="21" t="s">
        <v>57</v>
      </c>
      <c r="I33" s="21" t="s">
        <v>57</v>
      </c>
      <c r="J33" s="21"/>
      <c r="K33" s="187">
        <v>23392</v>
      </c>
    </row>
    <row r="34" spans="2:12" ht="15.75" x14ac:dyDescent="0.25">
      <c r="B34" s="154"/>
      <c r="C34" s="290" t="s">
        <v>27</v>
      </c>
      <c r="D34" s="290"/>
      <c r="E34" s="290"/>
      <c r="F34" s="219">
        <v>9591</v>
      </c>
      <c r="G34" s="67"/>
      <c r="H34" s="68"/>
      <c r="I34" s="21" t="s">
        <v>12</v>
      </c>
      <c r="J34" s="21"/>
      <c r="K34" s="187">
        <v>2902</v>
      </c>
    </row>
    <row r="35" spans="2:12" ht="15.75" x14ac:dyDescent="0.25">
      <c r="B35" s="154"/>
      <c r="C35" s="290" t="s">
        <v>85</v>
      </c>
      <c r="D35" s="290"/>
      <c r="E35" s="290"/>
      <c r="F35" s="219">
        <v>-1073</v>
      </c>
      <c r="G35" s="48"/>
      <c r="H35" s="21"/>
      <c r="I35" s="21" t="s">
        <v>84</v>
      </c>
      <c r="J35" s="21"/>
      <c r="K35" s="187">
        <v>649</v>
      </c>
    </row>
    <row r="36" spans="2:12" ht="15.75" x14ac:dyDescent="0.25">
      <c r="B36" s="154"/>
      <c r="C36" s="156"/>
      <c r="D36" s="156"/>
      <c r="E36" s="156"/>
      <c r="F36" s="178"/>
      <c r="G36" s="48"/>
      <c r="H36" s="21"/>
      <c r="I36" s="21" t="s">
        <v>101</v>
      </c>
      <c r="J36" s="21"/>
      <c r="K36" s="187">
        <v>6474</v>
      </c>
    </row>
    <row r="37" spans="2:12" ht="15.75" x14ac:dyDescent="0.25">
      <c r="B37" s="158" t="s">
        <v>55</v>
      </c>
      <c r="C37" s="156"/>
      <c r="D37" s="156"/>
      <c r="E37" s="156"/>
      <c r="F37" s="190">
        <f>F38+F50</f>
        <v>59159</v>
      </c>
      <c r="G37" s="48"/>
      <c r="H37" s="21"/>
      <c r="I37" s="21"/>
      <c r="J37" s="21"/>
      <c r="K37" s="179"/>
    </row>
    <row r="38" spans="2:12" ht="15.75" x14ac:dyDescent="0.25">
      <c r="B38" s="161" t="s">
        <v>28</v>
      </c>
      <c r="C38" s="157"/>
      <c r="D38" s="157"/>
      <c r="E38" s="159"/>
      <c r="F38" s="171">
        <f>F40+F47</f>
        <v>54844</v>
      </c>
      <c r="G38" s="245" t="s">
        <v>29</v>
      </c>
      <c r="H38" s="246"/>
      <c r="I38" s="246"/>
      <c r="J38" s="21"/>
      <c r="K38" s="175">
        <f>SUM(K39:K44)</f>
        <v>189940</v>
      </c>
    </row>
    <row r="39" spans="2:12" ht="15.75" x14ac:dyDescent="0.25">
      <c r="B39" s="162"/>
      <c r="C39" s="157"/>
      <c r="D39" s="157"/>
      <c r="E39" s="159"/>
      <c r="F39" s="178"/>
      <c r="G39" s="48"/>
      <c r="H39" s="254" t="s">
        <v>30</v>
      </c>
      <c r="I39" s="254"/>
      <c r="J39" s="254"/>
      <c r="K39" s="187">
        <v>179777</v>
      </c>
    </row>
    <row r="40" spans="2:12" ht="17.25" customHeight="1" x14ac:dyDescent="0.25">
      <c r="B40" s="287" t="s">
        <v>81</v>
      </c>
      <c r="C40" s="288"/>
      <c r="D40" s="288"/>
      <c r="E40" s="288"/>
      <c r="F40" s="172">
        <f>F41+F42+F43+F44</f>
        <v>51161</v>
      </c>
      <c r="G40" s="48"/>
      <c r="H40" s="254" t="s">
        <v>88</v>
      </c>
      <c r="I40" s="254"/>
      <c r="J40" s="254"/>
      <c r="K40" s="187">
        <v>0</v>
      </c>
    </row>
    <row r="41" spans="2:12" ht="15.75" x14ac:dyDescent="0.25">
      <c r="B41" s="158"/>
      <c r="C41" s="289" t="s">
        <v>19</v>
      </c>
      <c r="D41" s="289"/>
      <c r="E41" s="289"/>
      <c r="F41" s="219">
        <v>2725</v>
      </c>
      <c r="G41" s="48"/>
      <c r="H41" s="254" t="s">
        <v>91</v>
      </c>
      <c r="I41" s="254"/>
      <c r="J41" s="254"/>
      <c r="K41" s="187">
        <v>4002</v>
      </c>
    </row>
    <row r="42" spans="2:12" ht="15.75" x14ac:dyDescent="0.25">
      <c r="B42" s="158"/>
      <c r="C42" s="290" t="s">
        <v>21</v>
      </c>
      <c r="D42" s="290"/>
      <c r="E42" s="290"/>
      <c r="F42" s="219">
        <v>45507</v>
      </c>
      <c r="G42" s="48"/>
      <c r="H42" s="254" t="s">
        <v>89</v>
      </c>
      <c r="I42" s="254"/>
      <c r="J42" s="254"/>
      <c r="K42" s="187">
        <v>2586</v>
      </c>
    </row>
    <row r="43" spans="2:12" ht="15.75" x14ac:dyDescent="0.25">
      <c r="B43" s="158"/>
      <c r="C43" s="290" t="s">
        <v>66</v>
      </c>
      <c r="D43" s="290"/>
      <c r="E43" s="290"/>
      <c r="F43" s="219">
        <v>6120</v>
      </c>
      <c r="G43" s="48"/>
      <c r="H43" s="254" t="s">
        <v>90</v>
      </c>
      <c r="I43" s="254"/>
      <c r="J43" s="254"/>
      <c r="K43" s="187">
        <v>3575</v>
      </c>
    </row>
    <row r="44" spans="2:12" ht="15.75" x14ac:dyDescent="0.25">
      <c r="B44" s="158"/>
      <c r="C44" s="290" t="s">
        <v>22</v>
      </c>
      <c r="D44" s="290"/>
      <c r="E44" s="290"/>
      <c r="F44" s="219">
        <v>-3191</v>
      </c>
      <c r="G44" s="48"/>
      <c r="H44" s="21"/>
      <c r="I44" s="237"/>
      <c r="J44" s="237"/>
      <c r="K44" s="214"/>
    </row>
    <row r="45" spans="2:12" ht="15.75" x14ac:dyDescent="0.25">
      <c r="B45" s="287"/>
      <c r="C45" s="288"/>
      <c r="D45" s="288"/>
      <c r="E45" s="288"/>
      <c r="F45" s="177"/>
      <c r="G45" s="48"/>
      <c r="H45" s="21"/>
      <c r="I45" s="21"/>
      <c r="J45" s="21"/>
      <c r="K45" s="184"/>
    </row>
    <row r="46" spans="2:12" ht="15.75" x14ac:dyDescent="0.25">
      <c r="B46" s="158"/>
      <c r="C46" s="290"/>
      <c r="D46" s="290"/>
      <c r="E46" s="290"/>
      <c r="F46" s="66"/>
      <c r="G46" s="48"/>
      <c r="H46" s="21"/>
      <c r="I46" s="21"/>
      <c r="J46" s="21"/>
      <c r="K46" s="184"/>
    </row>
    <row r="47" spans="2:12" ht="15" customHeight="1" x14ac:dyDescent="0.25">
      <c r="B47" s="287" t="s">
        <v>23</v>
      </c>
      <c r="C47" s="288"/>
      <c r="D47" s="288"/>
      <c r="E47" s="288"/>
      <c r="F47" s="172">
        <f>F48+F49</f>
        <v>3683</v>
      </c>
      <c r="G47" s="48"/>
      <c r="H47" s="21"/>
      <c r="I47" s="21"/>
      <c r="J47" s="21"/>
      <c r="K47" s="184"/>
      <c r="L47" s="21"/>
    </row>
    <row r="48" spans="2:12" ht="15.75" customHeight="1" x14ac:dyDescent="0.25">
      <c r="B48" s="158"/>
      <c r="C48" s="290" t="s">
        <v>58</v>
      </c>
      <c r="D48" s="290"/>
      <c r="E48" s="290"/>
      <c r="F48" s="219">
        <v>3683</v>
      </c>
      <c r="G48" s="50"/>
      <c r="H48" s="222"/>
      <c r="I48" s="222"/>
      <c r="J48" s="222"/>
      <c r="K48" s="169"/>
      <c r="L48" s="21"/>
    </row>
    <row r="49" spans="2:16" ht="15.75" customHeight="1" x14ac:dyDescent="0.25">
      <c r="B49" s="158"/>
      <c r="C49" s="290"/>
      <c r="D49" s="290"/>
      <c r="E49" s="290"/>
      <c r="F49" s="66"/>
      <c r="G49" s="50"/>
      <c r="H49" s="222"/>
      <c r="I49" s="222"/>
      <c r="J49" s="222"/>
      <c r="K49" s="170"/>
      <c r="L49" s="21"/>
    </row>
    <row r="50" spans="2:16" ht="15.75" x14ac:dyDescent="0.25">
      <c r="B50" s="285" t="s">
        <v>37</v>
      </c>
      <c r="C50" s="286"/>
      <c r="D50" s="286"/>
      <c r="E50" s="286"/>
      <c r="F50" s="169">
        <f>SUM(F51+F55+F58+F61)</f>
        <v>4315</v>
      </c>
      <c r="G50" s="50" t="s">
        <v>33</v>
      </c>
      <c r="H50" s="220"/>
      <c r="I50" s="220"/>
      <c r="J50" s="220"/>
      <c r="K50" s="169">
        <f>SUM(K52:K58)</f>
        <v>1233</v>
      </c>
      <c r="L50" s="199"/>
    </row>
    <row r="51" spans="2:16" ht="15.75" x14ac:dyDescent="0.25">
      <c r="B51" s="287" t="s">
        <v>67</v>
      </c>
      <c r="C51" s="288"/>
      <c r="D51" s="288"/>
      <c r="E51" s="288"/>
      <c r="F51" s="169">
        <f>F52+F53+F54</f>
        <v>3595</v>
      </c>
      <c r="G51" s="50"/>
      <c r="H51" s="220"/>
      <c r="I51" s="220"/>
      <c r="J51" s="220"/>
      <c r="K51" s="170"/>
      <c r="P51" s="7"/>
    </row>
    <row r="52" spans="2:16" ht="15.75" x14ac:dyDescent="0.25">
      <c r="B52" s="154"/>
      <c r="C52" s="289" t="s">
        <v>68</v>
      </c>
      <c r="D52" s="289"/>
      <c r="E52" s="289"/>
      <c r="F52" s="219">
        <v>2422</v>
      </c>
      <c r="G52" s="48"/>
      <c r="H52" s="298" t="s">
        <v>34</v>
      </c>
      <c r="I52" s="298"/>
      <c r="J52" s="298"/>
      <c r="K52" s="170">
        <v>11122</v>
      </c>
    </row>
    <row r="53" spans="2:16" ht="15.75" x14ac:dyDescent="0.25">
      <c r="B53" s="154"/>
      <c r="C53" s="289" t="s">
        <v>69</v>
      </c>
      <c r="D53" s="289"/>
      <c r="E53" s="289"/>
      <c r="F53" s="219">
        <v>1867</v>
      </c>
      <c r="G53" s="48"/>
      <c r="H53" s="227"/>
      <c r="I53" s="298" t="s">
        <v>36</v>
      </c>
      <c r="J53" s="298"/>
      <c r="K53" s="170">
        <v>0</v>
      </c>
      <c r="L53" s="21"/>
    </row>
    <row r="54" spans="2:16" s="19" customFormat="1" ht="15.75" x14ac:dyDescent="0.25">
      <c r="B54" s="154"/>
      <c r="C54" s="289" t="s">
        <v>40</v>
      </c>
      <c r="D54" s="289"/>
      <c r="E54" s="289"/>
      <c r="F54" s="219">
        <v>-694</v>
      </c>
      <c r="G54" s="48"/>
      <c r="H54" s="298" t="s">
        <v>73</v>
      </c>
      <c r="I54" s="298"/>
      <c r="J54" s="298"/>
      <c r="K54" s="170">
        <v>-9015</v>
      </c>
      <c r="M54" s="5"/>
      <c r="N54" s="5"/>
    </row>
    <row r="55" spans="2:16" ht="15.75" x14ac:dyDescent="0.25">
      <c r="B55" s="287" t="s">
        <v>70</v>
      </c>
      <c r="C55" s="288"/>
      <c r="D55" s="288"/>
      <c r="E55" s="288"/>
      <c r="F55" s="169">
        <f>F56+F57</f>
        <v>501</v>
      </c>
      <c r="G55" s="48"/>
      <c r="H55" s="298" t="s">
        <v>86</v>
      </c>
      <c r="I55" s="298"/>
      <c r="J55" s="298"/>
      <c r="K55" s="170">
        <v>0</v>
      </c>
    </row>
    <row r="56" spans="2:16" ht="15.75" x14ac:dyDescent="0.25">
      <c r="B56" s="154"/>
      <c r="C56" s="289" t="s">
        <v>71</v>
      </c>
      <c r="D56" s="289"/>
      <c r="E56" s="289"/>
      <c r="F56" s="219">
        <v>1625</v>
      </c>
      <c r="G56" s="48"/>
      <c r="H56" s="298" t="s">
        <v>95</v>
      </c>
      <c r="I56" s="298"/>
      <c r="J56" s="298"/>
      <c r="K56" s="170">
        <v>-874</v>
      </c>
    </row>
    <row r="57" spans="2:16" ht="15.75" x14ac:dyDescent="0.25">
      <c r="B57" s="154"/>
      <c r="C57" s="289" t="s">
        <v>40</v>
      </c>
      <c r="D57" s="289"/>
      <c r="E57" s="289"/>
      <c r="F57" s="219">
        <v>-1124</v>
      </c>
      <c r="G57" s="48"/>
      <c r="H57" s="298" t="s">
        <v>92</v>
      </c>
      <c r="I57" s="298"/>
      <c r="J57" s="298"/>
      <c r="K57" s="170">
        <v>0</v>
      </c>
    </row>
    <row r="58" spans="2:16" ht="15.75" x14ac:dyDescent="0.25">
      <c r="B58" s="287" t="s">
        <v>75</v>
      </c>
      <c r="C58" s="288"/>
      <c r="D58" s="288"/>
      <c r="E58" s="288"/>
      <c r="F58" s="169">
        <f>F59+F60</f>
        <v>0</v>
      </c>
      <c r="G58" s="48"/>
      <c r="H58" s="254"/>
      <c r="I58" s="254"/>
      <c r="J58" s="254"/>
      <c r="K58" s="176"/>
    </row>
    <row r="59" spans="2:16" ht="15.75" x14ac:dyDescent="0.25">
      <c r="B59" s="154"/>
      <c r="C59" s="289" t="s">
        <v>42</v>
      </c>
      <c r="D59" s="289"/>
      <c r="E59" s="289"/>
      <c r="F59" s="170">
        <v>0</v>
      </c>
      <c r="G59" s="48"/>
      <c r="H59" s="21"/>
      <c r="I59" s="35"/>
      <c r="J59" s="21"/>
      <c r="K59" s="180"/>
    </row>
    <row r="60" spans="2:16" ht="15.75" x14ac:dyDescent="0.25">
      <c r="B60" s="154"/>
      <c r="C60" s="289" t="s">
        <v>41</v>
      </c>
      <c r="D60" s="289"/>
      <c r="E60" s="289"/>
      <c r="F60" s="170">
        <v>0</v>
      </c>
      <c r="G60" s="48"/>
      <c r="H60" s="21"/>
      <c r="I60" s="21"/>
      <c r="J60" s="21"/>
      <c r="K60" s="180"/>
    </row>
    <row r="61" spans="2:16" ht="15.75" x14ac:dyDescent="0.25">
      <c r="B61" s="291" t="s">
        <v>76</v>
      </c>
      <c r="C61" s="292"/>
      <c r="D61" s="292"/>
      <c r="E61" s="292"/>
      <c r="F61" s="169">
        <f>F62+F63</f>
        <v>219</v>
      </c>
      <c r="G61" s="48"/>
      <c r="H61" s="21"/>
      <c r="I61" s="21"/>
      <c r="J61" s="21"/>
      <c r="K61" s="180"/>
    </row>
    <row r="62" spans="2:16" ht="15.75" x14ac:dyDescent="0.25">
      <c r="B62" s="154"/>
      <c r="C62" s="289" t="s">
        <v>56</v>
      </c>
      <c r="D62" s="289"/>
      <c r="E62" s="289"/>
      <c r="F62" s="219">
        <v>393</v>
      </c>
      <c r="G62" s="48"/>
      <c r="H62" s="223"/>
      <c r="I62" s="223"/>
      <c r="J62" s="223"/>
      <c r="K62" s="179"/>
    </row>
    <row r="63" spans="2:16" ht="15.75" x14ac:dyDescent="0.25">
      <c r="B63" s="154"/>
      <c r="C63" s="289" t="s">
        <v>41</v>
      </c>
      <c r="D63" s="289"/>
      <c r="E63" s="289"/>
      <c r="F63" s="219">
        <v>-174</v>
      </c>
      <c r="G63" s="48"/>
      <c r="H63" s="223"/>
      <c r="I63" s="223"/>
      <c r="J63" s="223"/>
      <c r="K63" s="179"/>
    </row>
    <row r="64" spans="2:16" ht="15.75" x14ac:dyDescent="0.25">
      <c r="B64" s="285" t="s">
        <v>82</v>
      </c>
      <c r="C64" s="286"/>
      <c r="D64" s="286"/>
      <c r="E64" s="286"/>
      <c r="F64" s="169">
        <f>(F50+F38+F11)</f>
        <v>246804</v>
      </c>
      <c r="G64" s="221" t="s">
        <v>44</v>
      </c>
      <c r="H64" s="223"/>
      <c r="I64" s="222"/>
      <c r="J64" s="222"/>
      <c r="K64" s="175">
        <f>K38+K11+K28+K50</f>
        <v>246804</v>
      </c>
    </row>
    <row r="65" spans="2:13" ht="16.5" thickBot="1" x14ac:dyDescent="0.3">
      <c r="B65" s="163"/>
      <c r="C65" s="164"/>
      <c r="D65" s="164"/>
      <c r="E65" s="164"/>
      <c r="F65" s="165"/>
      <c r="G65" s="166"/>
      <c r="H65" s="222"/>
      <c r="I65" s="167"/>
      <c r="J65" s="167"/>
      <c r="K65" s="168"/>
    </row>
    <row r="66" spans="2:13" ht="16.5" thickBot="1" x14ac:dyDescent="0.3">
      <c r="B66" s="201"/>
      <c r="C66" s="38"/>
      <c r="D66" s="38"/>
      <c r="E66" s="38"/>
      <c r="F66" s="38"/>
      <c r="G66" s="38"/>
      <c r="H66" s="167"/>
      <c r="I66" s="38"/>
      <c r="J66" s="38"/>
      <c r="K66" s="202"/>
    </row>
    <row r="67" spans="2:13" ht="15.75" x14ac:dyDescent="0.2">
      <c r="B67" s="181"/>
      <c r="C67" s="182"/>
      <c r="D67" s="182"/>
      <c r="E67" s="182"/>
      <c r="F67" s="182"/>
      <c r="G67" s="182"/>
      <c r="H67" s="38"/>
      <c r="I67" s="182"/>
      <c r="J67" s="182"/>
      <c r="K67" s="183"/>
    </row>
    <row r="68" spans="2:13" s="19" customFormat="1" ht="24" customHeight="1" x14ac:dyDescent="0.2">
      <c r="B68" s="295" t="s">
        <v>45</v>
      </c>
      <c r="C68" s="248"/>
      <c r="D68" s="248"/>
      <c r="E68" s="248"/>
      <c r="F68" s="248"/>
      <c r="G68" s="248" t="s">
        <v>46</v>
      </c>
      <c r="H68" s="248"/>
      <c r="I68" s="248"/>
      <c r="J68" s="248"/>
      <c r="K68" s="195"/>
      <c r="M68" s="70"/>
    </row>
    <row r="69" spans="2:13" s="19" customFormat="1" ht="15" customHeight="1" x14ac:dyDescent="0.2">
      <c r="B69" s="229"/>
      <c r="C69" s="228"/>
      <c r="D69" s="228"/>
      <c r="E69" s="228"/>
      <c r="F69" s="228"/>
      <c r="G69" s="228"/>
      <c r="H69" s="228"/>
      <c r="I69" s="228"/>
      <c r="J69" s="228"/>
      <c r="K69" s="195"/>
      <c r="M69" s="70"/>
    </row>
    <row r="70" spans="2:13" s="19" customFormat="1" ht="15" customHeight="1" x14ac:dyDescent="0.25">
      <c r="B70" s="293" t="s">
        <v>98</v>
      </c>
      <c r="C70" s="239"/>
      <c r="D70" s="239"/>
      <c r="E70" s="239"/>
      <c r="F70" s="239"/>
      <c r="G70" s="232" t="s">
        <v>103</v>
      </c>
      <c r="H70" s="232"/>
      <c r="I70" s="232"/>
      <c r="J70" s="232"/>
      <c r="K70" s="196"/>
    </row>
    <row r="71" spans="2:13" s="7" customFormat="1" ht="15" customHeight="1" x14ac:dyDescent="0.25">
      <c r="B71" s="294" t="s">
        <v>87</v>
      </c>
      <c r="C71" s="232"/>
      <c r="D71" s="232"/>
      <c r="E71" s="232"/>
      <c r="F71" s="232"/>
      <c r="G71" s="232" t="s">
        <v>104</v>
      </c>
      <c r="H71" s="232"/>
      <c r="I71" s="232"/>
      <c r="J71" s="232"/>
      <c r="K71" s="196"/>
    </row>
    <row r="72" spans="2:13" s="7" customFormat="1" ht="15.75" x14ac:dyDescent="0.25">
      <c r="B72" s="213"/>
      <c r="C72" s="193"/>
      <c r="D72" s="193"/>
      <c r="E72" s="193"/>
      <c r="F72" s="193"/>
      <c r="G72" s="232"/>
      <c r="H72" s="232"/>
      <c r="I72" s="232"/>
      <c r="J72" s="232"/>
      <c r="K72" s="196"/>
    </row>
    <row r="73" spans="2:13" s="7" customFormat="1" ht="15" customHeight="1" x14ac:dyDescent="0.25">
      <c r="B73" s="293" t="s">
        <v>52</v>
      </c>
      <c r="C73" s="239"/>
      <c r="D73" s="239"/>
      <c r="E73" s="239"/>
      <c r="F73" s="239"/>
      <c r="G73" s="232"/>
      <c r="H73" s="232"/>
      <c r="I73" s="232"/>
      <c r="J73" s="232"/>
      <c r="K73" s="196"/>
    </row>
    <row r="74" spans="2:13" ht="15" customHeight="1" x14ac:dyDescent="0.25">
      <c r="B74" s="294" t="s">
        <v>93</v>
      </c>
      <c r="C74" s="232"/>
      <c r="D74" s="232"/>
      <c r="E74" s="232"/>
      <c r="F74" s="232"/>
      <c r="G74" s="239" t="s">
        <v>94</v>
      </c>
      <c r="H74" s="239"/>
      <c r="I74" s="239"/>
      <c r="J74" s="239"/>
      <c r="K74" s="185"/>
    </row>
    <row r="75" spans="2:13" ht="15" customHeight="1" x14ac:dyDescent="0.25">
      <c r="B75" s="293"/>
      <c r="C75" s="239"/>
      <c r="D75" s="239"/>
      <c r="E75" s="239"/>
      <c r="F75" s="239"/>
      <c r="G75" s="232" t="s">
        <v>97</v>
      </c>
      <c r="H75" s="232"/>
      <c r="I75" s="232"/>
      <c r="J75" s="232"/>
      <c r="K75" s="194"/>
    </row>
    <row r="76" spans="2:13" s="7" customFormat="1" ht="15" customHeight="1" x14ac:dyDescent="0.25">
      <c r="B76" s="293" t="s">
        <v>99</v>
      </c>
      <c r="C76" s="239"/>
      <c r="D76" s="239"/>
      <c r="E76" s="239"/>
      <c r="F76" s="239"/>
      <c r="G76" s="232" t="s">
        <v>96</v>
      </c>
      <c r="H76" s="232"/>
      <c r="I76" s="232"/>
      <c r="J76" s="232"/>
      <c r="K76" s="196"/>
      <c r="L76" s="26"/>
    </row>
    <row r="77" spans="2:13" ht="15" customHeight="1" thickBot="1" x14ac:dyDescent="0.3">
      <c r="B77" s="296" t="s">
        <v>100</v>
      </c>
      <c r="C77" s="297"/>
      <c r="D77" s="297"/>
      <c r="E77" s="297"/>
      <c r="F77" s="297"/>
      <c r="G77" s="297"/>
      <c r="H77" s="297"/>
      <c r="I77" s="297"/>
      <c r="J77" s="297"/>
      <c r="K77" s="198"/>
    </row>
    <row r="78" spans="2:13" s="7" customFormat="1" ht="16.5" thickBot="1" x14ac:dyDescent="0.3">
      <c r="C78" s="5"/>
      <c r="D78" s="5"/>
      <c r="E78" s="27"/>
      <c r="F78" s="27"/>
      <c r="G78" s="5"/>
      <c r="H78" s="197"/>
      <c r="I78" s="5"/>
      <c r="J78" s="27"/>
      <c r="K78" s="28"/>
    </row>
    <row r="79" spans="2:13" x14ac:dyDescent="0.2">
      <c r="B79" s="29"/>
      <c r="C79" s="29"/>
      <c r="D79" s="29"/>
      <c r="E79" s="29"/>
      <c r="F79" s="29"/>
      <c r="G79" s="29"/>
      <c r="I79" s="29"/>
      <c r="J79" s="29"/>
      <c r="K79" s="29"/>
    </row>
    <row r="80" spans="2:13" x14ac:dyDescent="0.2">
      <c r="H80" s="29"/>
    </row>
    <row r="82" spans="7:11" x14ac:dyDescent="0.2">
      <c r="G82" s="30"/>
    </row>
    <row r="84" spans="7:11" x14ac:dyDescent="0.2">
      <c r="K84" s="31"/>
    </row>
  </sheetData>
  <mergeCells count="89">
    <mergeCell ref="C4:C5"/>
    <mergeCell ref="D4:D5"/>
    <mergeCell ref="B6:F6"/>
    <mergeCell ref="B7:K8"/>
    <mergeCell ref="B9:F9"/>
    <mergeCell ref="G9:K9"/>
    <mergeCell ref="B11:E11"/>
    <mergeCell ref="G11:J11"/>
    <mergeCell ref="B13:E13"/>
    <mergeCell ref="H13:J13"/>
    <mergeCell ref="G14:K14"/>
    <mergeCell ref="B15:E15"/>
    <mergeCell ref="G15:J15"/>
    <mergeCell ref="C16:E16"/>
    <mergeCell ref="B18:E18"/>
    <mergeCell ref="C19:E19"/>
    <mergeCell ref="C20:E20"/>
    <mergeCell ref="G20:J20"/>
    <mergeCell ref="B21:E21"/>
    <mergeCell ref="H21:J21"/>
    <mergeCell ref="C22:E22"/>
    <mergeCell ref="C23:E23"/>
    <mergeCell ref="C24:E24"/>
    <mergeCell ref="C25:E25"/>
    <mergeCell ref="B27:E27"/>
    <mergeCell ref="C28:E28"/>
    <mergeCell ref="G28:J28"/>
    <mergeCell ref="B30:E30"/>
    <mergeCell ref="C31:D31"/>
    <mergeCell ref="C32:D32"/>
    <mergeCell ref="G32:J32"/>
    <mergeCell ref="C34:E34"/>
    <mergeCell ref="C35:E35"/>
    <mergeCell ref="G38:I38"/>
    <mergeCell ref="H39:J39"/>
    <mergeCell ref="B40:E40"/>
    <mergeCell ref="H40:J40"/>
    <mergeCell ref="C41:E41"/>
    <mergeCell ref="H41:J41"/>
    <mergeCell ref="C42:E42"/>
    <mergeCell ref="H42:J42"/>
    <mergeCell ref="C43:E43"/>
    <mergeCell ref="H43:J43"/>
    <mergeCell ref="C44:E44"/>
    <mergeCell ref="I44:J44"/>
    <mergeCell ref="B45:E45"/>
    <mergeCell ref="C46:E46"/>
    <mergeCell ref="B47:E47"/>
    <mergeCell ref="C48:E48"/>
    <mergeCell ref="C49:E49"/>
    <mergeCell ref="B50:E50"/>
    <mergeCell ref="B51:E51"/>
    <mergeCell ref="C52:E52"/>
    <mergeCell ref="H52:J52"/>
    <mergeCell ref="C53:E53"/>
    <mergeCell ref="I53:J53"/>
    <mergeCell ref="C54:E54"/>
    <mergeCell ref="H54:J54"/>
    <mergeCell ref="B55:E55"/>
    <mergeCell ref="H55:J55"/>
    <mergeCell ref="C56:E56"/>
    <mergeCell ref="H56:J56"/>
    <mergeCell ref="C57:E57"/>
    <mergeCell ref="H57:J57"/>
    <mergeCell ref="B58:E58"/>
    <mergeCell ref="H58:J58"/>
    <mergeCell ref="C59:E59"/>
    <mergeCell ref="C60:E60"/>
    <mergeCell ref="B61:E61"/>
    <mergeCell ref="C62:E62"/>
    <mergeCell ref="C63:E63"/>
    <mergeCell ref="B64:E64"/>
    <mergeCell ref="B68:F68"/>
    <mergeCell ref="G68:J68"/>
    <mergeCell ref="B70:F70"/>
    <mergeCell ref="G70:J70"/>
    <mergeCell ref="B71:F71"/>
    <mergeCell ref="G71:J71"/>
    <mergeCell ref="G72:J72"/>
    <mergeCell ref="B73:F73"/>
    <mergeCell ref="G73:J73"/>
    <mergeCell ref="B74:F74"/>
    <mergeCell ref="G74:J74"/>
    <mergeCell ref="B75:F75"/>
    <mergeCell ref="G75:J75"/>
    <mergeCell ref="B76:F76"/>
    <mergeCell ref="G76:J76"/>
    <mergeCell ref="B77:F77"/>
    <mergeCell ref="G77:J77"/>
  </mergeCells>
  <printOptions horizontalCentered="1"/>
  <pageMargins left="0.59055118110236227" right="0.39370078740157483" top="0.78740157480314965" bottom="0.39370078740157483" header="0.31496062992125984" footer="0.11811023622047245"/>
  <pageSetup paperSize="9" scale="5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 2014</vt:lpstr>
      <vt:lpstr>FEV 2014 </vt:lpstr>
      <vt:lpstr>MAR 2014 </vt:lpstr>
      <vt:lpstr>ABR 2014  </vt:lpstr>
      <vt:lpstr>MAI 2014  </vt:lpstr>
      <vt:lpstr>JUN 2014</vt:lpstr>
      <vt:lpstr>MARÇO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marcos.nascimento</dc:creator>
  <cp:lastModifiedBy>Edimar da Paixao Mendes</cp:lastModifiedBy>
  <cp:lastPrinted>2020-05-22T18:54:37Z</cp:lastPrinted>
  <dcterms:created xsi:type="dcterms:W3CDTF">2009-01-05T20:09:54Z</dcterms:created>
  <dcterms:modified xsi:type="dcterms:W3CDTF">2020-05-22T19:41:21Z</dcterms:modified>
</cp:coreProperties>
</file>